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175" yWindow="-105" windowWidth="12120" windowHeight="8295" tabRatio="738"/>
  </bookViews>
  <sheets>
    <sheet name="2013 Budget" sheetId="29" r:id="rId1"/>
    <sheet name="Personnel" sheetId="77" r:id="rId2"/>
    <sheet name="Assumptions" sheetId="76" r:id="rId3"/>
  </sheets>
  <definedNames>
    <definedName name="\a" localSheetId="2">#REF!</definedName>
    <definedName name="\a" localSheetId="1">#REF!</definedName>
    <definedName name="\a">#REF!</definedName>
    <definedName name="\b" localSheetId="2">#REF!</definedName>
    <definedName name="\b" localSheetId="1">#REF!</definedName>
    <definedName name="\b">#REF!</definedName>
    <definedName name="\c" localSheetId="2">#REF!</definedName>
    <definedName name="\c" localSheetId="1">#REF!</definedName>
    <definedName name="\c">#REF!</definedName>
    <definedName name="\d" localSheetId="2">#REF!</definedName>
    <definedName name="\d" localSheetId="1">#REF!</definedName>
    <definedName name="\d">#REF!</definedName>
    <definedName name="\e" localSheetId="2">#REF!</definedName>
    <definedName name="\e" localSheetId="1">#REF!</definedName>
    <definedName name="\e">#REF!</definedName>
    <definedName name="\f" localSheetId="2">#REF!</definedName>
    <definedName name="\f" localSheetId="1">#REF!</definedName>
    <definedName name="\f">#REF!</definedName>
    <definedName name="__ROW1">#REF!</definedName>
    <definedName name="__ROW2">#REF!</definedName>
    <definedName name="_ROW1">#REF!</definedName>
    <definedName name="_ROW2">#REF!</definedName>
    <definedName name="FIXED" localSheetId="2">#REF!</definedName>
    <definedName name="FIXED" localSheetId="1">#REF!</definedName>
    <definedName name="FIXED">#REF!</definedName>
    <definedName name="PRINT" localSheetId="2">#REF!</definedName>
    <definedName name="PRINT" localSheetId="1">#REF!</definedName>
    <definedName name="PRINT">#REF!</definedName>
    <definedName name="_xlnm.Print_Area" localSheetId="0">'2013 Budget'!$A$1:$P$73</definedName>
    <definedName name="_xlnm.Print_Area" localSheetId="2">Assumptions!$A$1:$O$22</definedName>
    <definedName name="_xlnm.Print_Area" localSheetId="1">Personnel!$A$1:$J$18</definedName>
    <definedName name="_xlnm.Print_Area">#REF!</definedName>
    <definedName name="PRINT_AREA_MI" localSheetId="2">#REF!</definedName>
    <definedName name="PRINT_AREA_MI" localSheetId="1">#REF!</definedName>
    <definedName name="PRINT_AREA_MI">#REF!</definedName>
    <definedName name="_xlnm.Print_Titles" localSheetId="2">#REF!</definedName>
    <definedName name="_xlnm.Print_Titles" localSheetId="1">#REF!</definedName>
    <definedName name="_xlnm.Print_Titles">#REF!</definedName>
    <definedName name="PRINT_TITLES_MI" localSheetId="2">#REF!</definedName>
    <definedName name="PRINT_TITLES_MI" localSheetId="1">#REF!</definedName>
    <definedName name="PRINT_TITLES_MI">#REF!</definedName>
    <definedName name="RANGE1" localSheetId="2">#REF!</definedName>
    <definedName name="RANGE1" localSheetId="1">#REF!</definedName>
    <definedName name="RANGE1">#REF!</definedName>
    <definedName name="RANGE2" localSheetId="2">#REF!</definedName>
    <definedName name="RANGE2" localSheetId="1">#REF!</definedName>
    <definedName name="RANGE2">#REF!</definedName>
    <definedName name="RANGE3" localSheetId="2">#REF!</definedName>
    <definedName name="RANGE3" localSheetId="1">#REF!</definedName>
    <definedName name="RANGE3">#REF!</definedName>
    <definedName name="RANGE4" localSheetId="2">#REF!</definedName>
    <definedName name="RANGE4" localSheetId="1">#REF!</definedName>
    <definedName name="RANGE4">#REF!</definedName>
    <definedName name="RANGE5" localSheetId="2">#REF!</definedName>
    <definedName name="RANGE5" localSheetId="1">#REF!</definedName>
    <definedName name="RANGE5">#REF!</definedName>
    <definedName name="RANGE6" localSheetId="2">#REF!</definedName>
    <definedName name="RANGE6" localSheetId="1">#REF!</definedName>
    <definedName name="RANGE6">#REF!</definedName>
    <definedName name="TITLES" localSheetId="2">#REF!</definedName>
    <definedName name="TITLES" localSheetId="1">#REF!</definedName>
    <definedName name="TITLES">#REF!</definedName>
    <definedName name="VARIABLE" localSheetId="2">#REF!</definedName>
    <definedName name="VARIABLE" localSheetId="1">#REF!</definedName>
    <definedName name="VARIABLE">#REF!</definedName>
    <definedName name="YEAR" localSheetId="2">#REF!</definedName>
    <definedName name="YEAR" localSheetId="1">#REF!</definedName>
    <definedName name="YEAR">#REF!</definedName>
  </definedNames>
  <calcPr calcId="114210"/>
  <customWorkbookViews>
    <customWorkbookView name="Linnea - Personal View" guid="{FC06E55E-510E-11D5-AE06-005004FDE11C}" mergeInterval="0" personalView="1" maximized="1" windowWidth="1020" windowHeight="579" activeSheetId="1"/>
  </customWorkbookViews>
</workbook>
</file>

<file path=xl/calcChain.xml><?xml version="1.0" encoding="utf-8"?>
<calcChain xmlns="http://schemas.openxmlformats.org/spreadsheetml/2006/main">
  <c r="C5" i="29"/>
  <c r="C6"/>
  <c r="C7"/>
  <c r="C10"/>
  <c r="C35"/>
  <c r="D5"/>
  <c r="D6"/>
  <c r="D7"/>
  <c r="D10"/>
  <c r="D35"/>
  <c r="E5"/>
  <c r="E6"/>
  <c r="E7"/>
  <c r="E10"/>
  <c r="E35"/>
  <c r="F5"/>
  <c r="F6"/>
  <c r="F7"/>
  <c r="F10"/>
  <c r="F35"/>
  <c r="G5"/>
  <c r="G6"/>
  <c r="G7"/>
  <c r="G10"/>
  <c r="G35"/>
  <c r="H5"/>
  <c r="H6"/>
  <c r="H7"/>
  <c r="H10"/>
  <c r="H35"/>
  <c r="I5"/>
  <c r="I6"/>
  <c r="I7"/>
  <c r="I10"/>
  <c r="I35"/>
  <c r="J5"/>
  <c r="J6"/>
  <c r="J7"/>
  <c r="J10"/>
  <c r="J35"/>
  <c r="K5"/>
  <c r="K6"/>
  <c r="K7"/>
  <c r="K10"/>
  <c r="K35"/>
  <c r="L5"/>
  <c r="L6"/>
  <c r="L7"/>
  <c r="L10"/>
  <c r="L35"/>
  <c r="M5"/>
  <c r="M6"/>
  <c r="M7"/>
  <c r="M10"/>
  <c r="M35"/>
  <c r="B5"/>
  <c r="B6"/>
  <c r="B7"/>
  <c r="B10"/>
  <c r="B35"/>
  <c r="M18"/>
  <c r="L18"/>
  <c r="K18"/>
  <c r="J18"/>
  <c r="I18"/>
  <c r="H18"/>
  <c r="G18"/>
  <c r="F18"/>
  <c r="E18"/>
  <c r="D18"/>
  <c r="C18"/>
  <c r="B18"/>
  <c r="C27"/>
  <c r="D27"/>
  <c r="E27"/>
  <c r="F27"/>
  <c r="G27"/>
  <c r="H27"/>
  <c r="I27"/>
  <c r="J27"/>
  <c r="K27"/>
  <c r="L27"/>
  <c r="M27"/>
  <c r="B27"/>
  <c r="C25"/>
  <c r="D25"/>
  <c r="E25"/>
  <c r="F25"/>
  <c r="G25"/>
  <c r="H25"/>
  <c r="I25"/>
  <c r="J25"/>
  <c r="K25"/>
  <c r="L25"/>
  <c r="M25"/>
  <c r="C26"/>
  <c r="D26"/>
  <c r="E26"/>
  <c r="F26"/>
  <c r="G26"/>
  <c r="H26"/>
  <c r="I26"/>
  <c r="J26"/>
  <c r="K26"/>
  <c r="L26"/>
  <c r="M26"/>
  <c r="B26"/>
  <c r="B25"/>
  <c r="C8"/>
  <c r="D8"/>
  <c r="E8"/>
  <c r="F8"/>
  <c r="G8"/>
  <c r="H8"/>
  <c r="I8"/>
  <c r="J8"/>
  <c r="K8"/>
  <c r="L8"/>
  <c r="M8"/>
  <c r="C9"/>
  <c r="D9"/>
  <c r="E9"/>
  <c r="F9"/>
  <c r="G9"/>
  <c r="H9"/>
  <c r="I9"/>
  <c r="J9"/>
  <c r="K9"/>
  <c r="L9"/>
  <c r="M9"/>
  <c r="B9"/>
  <c r="B8"/>
  <c r="H8" i="76"/>
  <c r="I8"/>
  <c r="J8"/>
  <c r="K8"/>
  <c r="L8"/>
  <c r="M8"/>
  <c r="N8"/>
  <c r="D4"/>
  <c r="E4"/>
  <c r="F4"/>
  <c r="G4"/>
  <c r="H4"/>
  <c r="I4"/>
  <c r="J4"/>
  <c r="K4"/>
  <c r="L4"/>
  <c r="M4"/>
  <c r="N4"/>
  <c r="C24" i="29"/>
  <c r="C32"/>
  <c r="D24"/>
  <c r="D33"/>
  <c r="E24"/>
  <c r="E32"/>
  <c r="F24"/>
  <c r="F33"/>
  <c r="G24"/>
  <c r="G32"/>
  <c r="H24"/>
  <c r="H33"/>
  <c r="I24"/>
  <c r="I32"/>
  <c r="J24"/>
  <c r="J33"/>
  <c r="K24"/>
  <c r="K32"/>
  <c r="L24"/>
  <c r="L33"/>
  <c r="M24"/>
  <c r="M32"/>
  <c r="B24"/>
  <c r="B32"/>
  <c r="C54"/>
  <c r="D54"/>
  <c r="E54"/>
  <c r="F54"/>
  <c r="G54"/>
  <c r="H54"/>
  <c r="I54"/>
  <c r="J54"/>
  <c r="K54"/>
  <c r="L54"/>
  <c r="M54"/>
  <c r="B54"/>
  <c r="O44"/>
  <c r="O8"/>
  <c r="O45"/>
  <c r="O29"/>
  <c r="O55"/>
  <c r="O43"/>
  <c r="O46"/>
  <c r="O47"/>
  <c r="O40"/>
  <c r="O41"/>
  <c r="O52"/>
  <c r="O37"/>
  <c r="O54"/>
  <c r="O58"/>
  <c r="O68"/>
  <c r="O69"/>
  <c r="O70"/>
  <c r="O71"/>
  <c r="O72"/>
  <c r="O67"/>
  <c r="O34"/>
  <c r="O17"/>
  <c r="O38"/>
  <c r="O56"/>
  <c r="O24"/>
  <c r="O14"/>
  <c r="O39"/>
  <c r="O49"/>
  <c r="O59"/>
  <c r="O31"/>
  <c r="O50"/>
  <c r="O57"/>
  <c r="O30"/>
  <c r="O51"/>
  <c r="O53"/>
  <c r="O28"/>
  <c r="O35"/>
  <c r="O25"/>
  <c r="O18"/>
  <c r="O7"/>
  <c r="B16"/>
  <c r="B15"/>
  <c r="L16"/>
  <c r="L15"/>
  <c r="J16"/>
  <c r="J15"/>
  <c r="H16"/>
  <c r="H15"/>
  <c r="F16"/>
  <c r="F15"/>
  <c r="D16"/>
  <c r="D15"/>
  <c r="M33"/>
  <c r="K33"/>
  <c r="I33"/>
  <c r="G33"/>
  <c r="E33"/>
  <c r="C33"/>
  <c r="L32"/>
  <c r="J32"/>
  <c r="H32"/>
  <c r="F32"/>
  <c r="D32"/>
  <c r="M16"/>
  <c r="M15"/>
  <c r="K16"/>
  <c r="K15"/>
  <c r="I16"/>
  <c r="I15"/>
  <c r="G16"/>
  <c r="G15"/>
  <c r="E16"/>
  <c r="E15"/>
  <c r="C16"/>
  <c r="C15"/>
  <c r="C13"/>
  <c r="C48"/>
  <c r="B13"/>
  <c r="B19"/>
  <c r="O16"/>
  <c r="C19"/>
  <c r="C42"/>
  <c r="C60"/>
  <c r="C20"/>
  <c r="C21"/>
  <c r="D13"/>
  <c r="D19"/>
  <c r="B48"/>
  <c r="B42"/>
  <c r="B60"/>
  <c r="B20"/>
  <c r="O32"/>
  <c r="B21"/>
  <c r="E13"/>
  <c r="O36"/>
  <c r="D48"/>
  <c r="D60"/>
  <c r="D42"/>
  <c r="D20"/>
  <c r="D21"/>
  <c r="C61"/>
  <c r="E48"/>
  <c r="E60"/>
  <c r="E42"/>
  <c r="O27"/>
  <c r="B33"/>
  <c r="D61"/>
  <c r="E19"/>
  <c r="F13"/>
  <c r="O9"/>
  <c r="G13"/>
  <c r="B61"/>
  <c r="E20"/>
  <c r="C63"/>
  <c r="F48"/>
  <c r="F42"/>
  <c r="F60"/>
  <c r="F19"/>
  <c r="O33"/>
  <c r="O26"/>
  <c r="E61"/>
  <c r="D63"/>
  <c r="D64"/>
  <c r="D73"/>
  <c r="G19"/>
  <c r="G20"/>
  <c r="G48"/>
  <c r="G42"/>
  <c r="G60"/>
  <c r="F20"/>
  <c r="F61"/>
  <c r="C64"/>
  <c r="C73"/>
  <c r="E21"/>
  <c r="E63"/>
  <c r="B63"/>
  <c r="H13"/>
  <c r="H48"/>
  <c r="H60"/>
  <c r="H42"/>
  <c r="I13"/>
  <c r="E64"/>
  <c r="E73"/>
  <c r="B73"/>
  <c r="B64"/>
  <c r="F63"/>
  <c r="F21"/>
  <c r="G21"/>
  <c r="G61"/>
  <c r="H19"/>
  <c r="F64"/>
  <c r="F73"/>
  <c r="I48"/>
  <c r="I60"/>
  <c r="I42"/>
  <c r="G63"/>
  <c r="I19"/>
  <c r="I20"/>
  <c r="J13"/>
  <c r="H20"/>
  <c r="H61"/>
  <c r="I21"/>
  <c r="H21"/>
  <c r="H63"/>
  <c r="J48"/>
  <c r="J42"/>
  <c r="J60"/>
  <c r="I61"/>
  <c r="J19"/>
  <c r="K13"/>
  <c r="G64"/>
  <c r="G73"/>
  <c r="O6"/>
  <c r="K48"/>
  <c r="K42"/>
  <c r="K60"/>
  <c r="K19"/>
  <c r="K20"/>
  <c r="L13"/>
  <c r="O5"/>
  <c r="J20"/>
  <c r="J61"/>
  <c r="H73"/>
  <c r="H64"/>
  <c r="I63"/>
  <c r="K21"/>
  <c r="O10"/>
  <c r="P6"/>
  <c r="M13"/>
  <c r="O13"/>
  <c r="L19"/>
  <c r="L20"/>
  <c r="K61"/>
  <c r="I64"/>
  <c r="I73"/>
  <c r="J21"/>
  <c r="J63"/>
  <c r="L48"/>
  <c r="L60"/>
  <c r="L42"/>
  <c r="M19"/>
  <c r="O15"/>
  <c r="P15"/>
  <c r="O19"/>
  <c r="P19"/>
  <c r="L21"/>
  <c r="L61"/>
  <c r="L63"/>
  <c r="J73"/>
  <c r="J64"/>
  <c r="P45"/>
  <c r="P39"/>
  <c r="P59"/>
  <c r="P50"/>
  <c r="P30"/>
  <c r="P8"/>
  <c r="P40"/>
  <c r="P17"/>
  <c r="P16"/>
  <c r="P67"/>
  <c r="P43"/>
  <c r="P56"/>
  <c r="P69"/>
  <c r="P70"/>
  <c r="P47"/>
  <c r="P10"/>
  <c r="P9"/>
  <c r="P24"/>
  <c r="P29"/>
  <c r="P28"/>
  <c r="P44"/>
  <c r="P49"/>
  <c r="P31"/>
  <c r="P57"/>
  <c r="P51"/>
  <c r="P53"/>
  <c r="P38"/>
  <c r="P58"/>
  <c r="P68"/>
  <c r="P34"/>
  <c r="P37"/>
  <c r="P71"/>
  <c r="P14"/>
  <c r="P52"/>
  <c r="P72"/>
  <c r="P54"/>
  <c r="P46"/>
  <c r="P55"/>
  <c r="P41"/>
  <c r="P35"/>
  <c r="P25"/>
  <c r="P18"/>
  <c r="P7"/>
  <c r="P32"/>
  <c r="P36"/>
  <c r="P13"/>
  <c r="P27"/>
  <c r="P33"/>
  <c r="P26"/>
  <c r="K63"/>
  <c r="M48"/>
  <c r="M42"/>
  <c r="M60"/>
  <c r="M20"/>
  <c r="P5"/>
  <c r="O20"/>
  <c r="P20"/>
  <c r="L64"/>
  <c r="L73"/>
  <c r="M21"/>
  <c r="O60"/>
  <c r="P60"/>
  <c r="M61"/>
  <c r="O42"/>
  <c r="O48"/>
  <c r="P48"/>
  <c r="K64"/>
  <c r="K73"/>
  <c r="P42"/>
  <c r="O61"/>
  <c r="M63"/>
  <c r="M73"/>
  <c r="M64"/>
  <c r="P61"/>
  <c r="O63"/>
  <c r="O73"/>
  <c r="P73"/>
  <c r="P63"/>
</calcChain>
</file>

<file path=xl/comments1.xml><?xml version="1.0" encoding="utf-8"?>
<comments xmlns="http://schemas.openxmlformats.org/spreadsheetml/2006/main">
  <authors>
    <author>Linnea Blair</author>
    <author>HP Authorized Customer</author>
  </authors>
  <commentList>
    <comment ref="D7" authorId="0">
      <text>
        <r>
          <rPr>
            <b/>
            <sz val="8"/>
            <color indexed="81"/>
            <rFont val="Tahoma"/>
          </rPr>
          <t>Type in annual salary for each overhead employee or owner</t>
        </r>
        <r>
          <rPr>
            <sz val="8"/>
            <color indexed="81"/>
            <rFont val="Tahoma"/>
          </rPr>
          <t xml:space="preserve">
</t>
        </r>
      </text>
    </comment>
    <comment ref="B8" authorId="1">
      <text>
        <r>
          <rPr>
            <sz val="8"/>
            <color indexed="81"/>
            <rFont val="Tahoma"/>
          </rPr>
          <t xml:space="preserve">Second owner salary or Spouse salary if other than office manager. Spouse as Office Manager - see below
</t>
        </r>
      </text>
    </comment>
  </commentList>
</comments>
</file>

<file path=xl/comments2.xml><?xml version="1.0" encoding="utf-8"?>
<comments xmlns="http://schemas.openxmlformats.org/spreadsheetml/2006/main">
  <authors>
    <author>Linnea Blair</author>
  </authors>
  <commentList>
    <comment ref="C9" authorId="0">
      <text>
        <r>
          <rPr>
            <b/>
            <sz val="8"/>
            <color indexed="81"/>
            <rFont val="Tahoma"/>
            <family val="2"/>
          </rPr>
          <t>Linnea Blair:</t>
        </r>
        <r>
          <rPr>
            <sz val="8"/>
            <color indexed="81"/>
            <rFont val="Tahoma"/>
            <family val="2"/>
          </rPr>
          <t xml:space="preserve">
Average price</t>
        </r>
      </text>
    </comment>
    <comment ref="C13" authorId="0">
      <text>
        <r>
          <rPr>
            <b/>
            <sz val="8"/>
            <color indexed="81"/>
            <rFont val="Tahoma"/>
            <family val="2"/>
          </rPr>
          <t>Linnea Blair:</t>
        </r>
        <r>
          <rPr>
            <sz val="8"/>
            <color indexed="81"/>
            <rFont val="Tahoma"/>
            <family val="2"/>
          </rPr>
          <t xml:space="preserve">
Average price</t>
        </r>
      </text>
    </comment>
    <comment ref="C17" authorId="0">
      <text>
        <r>
          <rPr>
            <b/>
            <sz val="8"/>
            <color indexed="81"/>
            <rFont val="Tahoma"/>
            <family val="2"/>
          </rPr>
          <t>Linnea Blair:</t>
        </r>
        <r>
          <rPr>
            <sz val="8"/>
            <color indexed="81"/>
            <rFont val="Tahoma"/>
            <family val="2"/>
          </rPr>
          <t xml:space="preserve">
Average price</t>
        </r>
      </text>
    </comment>
    <comment ref="C21" authorId="0">
      <text>
        <r>
          <rPr>
            <b/>
            <sz val="8"/>
            <color indexed="81"/>
            <rFont val="Tahoma"/>
            <family val="2"/>
          </rPr>
          <t>Linnea Blair:</t>
        </r>
        <r>
          <rPr>
            <sz val="8"/>
            <color indexed="81"/>
            <rFont val="Tahoma"/>
            <family val="2"/>
          </rPr>
          <t xml:space="preserve">
Average price</t>
        </r>
      </text>
    </comment>
  </commentList>
</comments>
</file>

<file path=xl/sharedStrings.xml><?xml version="1.0" encoding="utf-8"?>
<sst xmlns="http://schemas.openxmlformats.org/spreadsheetml/2006/main" count="125" uniqueCount="99">
  <si>
    <t>Dec</t>
  </si>
  <si>
    <t>Jan</t>
  </si>
  <si>
    <t>Feb</t>
  </si>
  <si>
    <t>Mar</t>
  </si>
  <si>
    <t>Apr</t>
  </si>
  <si>
    <t>Jul</t>
  </si>
  <si>
    <t>Aug</t>
  </si>
  <si>
    <t>Sep</t>
  </si>
  <si>
    <t>Oct</t>
  </si>
  <si>
    <t>Nov</t>
  </si>
  <si>
    <t>%</t>
  </si>
  <si>
    <t>Total Revenue</t>
  </si>
  <si>
    <t>Bank Charges</t>
  </si>
  <si>
    <t>Dues &amp; Subscriptions</t>
  </si>
  <si>
    <t>Miscellaneous Expense</t>
  </si>
  <si>
    <t>Accounting</t>
  </si>
  <si>
    <t>Postage &amp; Delivery</t>
  </si>
  <si>
    <t>Rent</t>
  </si>
  <si>
    <t>Depreciation</t>
  </si>
  <si>
    <t>Utilities</t>
  </si>
  <si>
    <t>Net Operating Profit</t>
  </si>
  <si>
    <t>Provision for Taxes</t>
  </si>
  <si>
    <t>Net Profit after Taxes</t>
  </si>
  <si>
    <t>Life Insurance</t>
  </si>
  <si>
    <t>Income</t>
  </si>
  <si>
    <t>Total Budget</t>
  </si>
  <si>
    <t>Other Income (Expense)</t>
  </si>
  <si>
    <t>Payroll Taxes - Admin</t>
  </si>
  <si>
    <t>Office Supplies</t>
  </si>
  <si>
    <t>Workers Comp -Admin</t>
  </si>
  <si>
    <t>Group Health Ins - Admin</t>
  </si>
  <si>
    <t>Interest Income</t>
  </si>
  <si>
    <t>Interest  Expense</t>
  </si>
  <si>
    <t xml:space="preserve">Total General &amp; Administrative </t>
  </si>
  <si>
    <t>Legal</t>
  </si>
  <si>
    <t>Advertising/Marketing</t>
  </si>
  <si>
    <t>May</t>
  </si>
  <si>
    <t>Jun</t>
  </si>
  <si>
    <t>Total</t>
  </si>
  <si>
    <t>Direct %</t>
  </si>
  <si>
    <t>Management</t>
  </si>
  <si>
    <t>Payroll - Owner</t>
  </si>
  <si>
    <t>Owner Bonus/Draw/Dividend</t>
  </si>
  <si>
    <t>Retirement Plan - Admin</t>
  </si>
  <si>
    <t>Other Income</t>
  </si>
  <si>
    <t>Other Expense</t>
  </si>
  <si>
    <t>Monthly Net Operating Profit %</t>
  </si>
  <si>
    <t>Budget Assumptions - Revenue</t>
  </si>
  <si>
    <t>Number</t>
  </si>
  <si>
    <t>Price</t>
  </si>
  <si>
    <t>Expenses</t>
  </si>
  <si>
    <t>Continuing Education</t>
  </si>
  <si>
    <t>Office Expense</t>
  </si>
  <si>
    <t>Direct Costs (Cost of Sales)</t>
  </si>
  <si>
    <t>Total Direct Costs</t>
  </si>
  <si>
    <t>Gross Profit</t>
  </si>
  <si>
    <t>Monthly Gross Profit %</t>
  </si>
  <si>
    <t>Software</t>
  </si>
  <si>
    <t>Auto Expense</t>
  </si>
  <si>
    <t>Merchant Service Fees</t>
  </si>
  <si>
    <t>Travel</t>
  </si>
  <si>
    <t>Professional Development</t>
  </si>
  <si>
    <t>Consulting</t>
  </si>
  <si>
    <t xml:space="preserve">Telephone </t>
  </si>
  <si>
    <t>Payroll Service</t>
  </si>
  <si>
    <t>Licenses &amp; Permits</t>
  </si>
  <si>
    <t>Gifts</t>
  </si>
  <si>
    <t>Sales Commissions</t>
  </si>
  <si>
    <t>Professional Fees</t>
  </si>
  <si>
    <t>Computer Expense</t>
  </si>
  <si>
    <t>2013 Budget</t>
  </si>
  <si>
    <t>Payroll - Sales</t>
  </si>
  <si>
    <t>Bonus</t>
  </si>
  <si>
    <t>Insurance - Business</t>
  </si>
  <si>
    <t>Assumptions</t>
  </si>
  <si>
    <t xml:space="preserve">Directions  </t>
  </si>
  <si>
    <t>Sample Service Company</t>
  </si>
  <si>
    <t>Service Type 1</t>
  </si>
  <si>
    <t>Personnel List</t>
  </si>
  <si>
    <t>Mouse over each cell with a red flag for instructions.  ONLY make entries in Yellow Cells.  The rest are calculations. Save one version of this worksheet as a master in case you make mistakes. All numbers entered here carry to either assumptions page or budget template</t>
  </si>
  <si>
    <t>Wage/Salary</t>
  </si>
  <si>
    <t>Owner (salary)</t>
  </si>
  <si>
    <t>Owner 2 (salary)</t>
  </si>
  <si>
    <t>Overhead Salaries</t>
  </si>
  <si>
    <t>Office Manager (salary)</t>
  </si>
  <si>
    <t>Office Assistant (salary)</t>
  </si>
  <si>
    <t>Other Personnel</t>
  </si>
  <si>
    <t>Service Type 2</t>
  </si>
  <si>
    <t>Service Type 3</t>
  </si>
  <si>
    <t>Service Type 4</t>
  </si>
  <si>
    <t>Service Type 5</t>
  </si>
  <si>
    <t>Payroll -Offcie Manager</t>
  </si>
  <si>
    <t>Payroll - Office Assistant</t>
  </si>
  <si>
    <t>Direct Cost 1</t>
  </si>
  <si>
    <t>Direct Cost 2</t>
  </si>
  <si>
    <t>Direct Cost 3</t>
  </si>
  <si>
    <t>Direct Cost 4</t>
  </si>
  <si>
    <t>Direct Cost 5</t>
  </si>
  <si>
    <t>Meals &amp; Entertainment</t>
  </si>
</sst>
</file>

<file path=xl/styles.xml><?xml version="1.0" encoding="utf-8"?>
<styleSheet xmlns="http://schemas.openxmlformats.org/spreadsheetml/2006/main">
  <numFmts count="6">
    <numFmt numFmtId="5" formatCode="&quot;$&quot;#,##0_);\(&quot;$&quot;#,##0\)"/>
    <numFmt numFmtId="164" formatCode="&quot;$&quot;#,##0.00"/>
    <numFmt numFmtId="165" formatCode="&quot;$&quot;#,##0"/>
    <numFmt numFmtId="166" formatCode="0.0%"/>
    <numFmt numFmtId="167" formatCode="0.0000_)"/>
    <numFmt numFmtId="168" formatCode="m/d/yy;@"/>
  </numFmts>
  <fonts count="2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u val="doubleAccounting"/>
      <sz val="10"/>
      <name val="Arial"/>
      <family val="2"/>
    </font>
    <font>
      <sz val="10"/>
      <color indexed="12"/>
      <name val="Arial"/>
      <family val="2"/>
    </font>
    <font>
      <b/>
      <i/>
      <sz val="9"/>
      <color indexed="8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i/>
      <sz val="9"/>
      <color indexed="60"/>
      <name val="Arial"/>
      <family val="2"/>
    </font>
    <font>
      <b/>
      <i/>
      <sz val="12"/>
      <color indexed="8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22"/>
      <name val="Arial"/>
      <family val="2"/>
    </font>
    <font>
      <sz val="10"/>
      <color indexed="22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urier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7" fontId="20" fillId="0" borderId="0"/>
  </cellStyleXfs>
  <cellXfs count="94">
    <xf numFmtId="0" fontId="0" fillId="0" borderId="0" xfId="0"/>
    <xf numFmtId="0" fontId="2" fillId="0" borderId="0" xfId="0" applyFont="1"/>
    <xf numFmtId="37" fontId="6" fillId="0" borderId="0" xfId="0" applyNumberFormat="1" applyFont="1" applyBorder="1"/>
    <xf numFmtId="37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66" fontId="10" fillId="0" borderId="1" xfId="0" applyNumberFormat="1" applyFont="1" applyBorder="1" applyAlignment="1">
      <alignment horizontal="center"/>
    </xf>
    <xf numFmtId="37" fontId="3" fillId="0" borderId="2" xfId="0" applyNumberFormat="1" applyFont="1" applyFill="1" applyBorder="1" applyAlignment="1"/>
    <xf numFmtId="37" fontId="3" fillId="0" borderId="0" xfId="0" applyNumberFormat="1" applyFont="1" applyFill="1" applyBorder="1" applyAlignment="1"/>
    <xf numFmtId="0" fontId="0" fillId="0" borderId="0" xfId="0" applyFill="1"/>
    <xf numFmtId="37" fontId="3" fillId="0" borderId="3" xfId="0" applyNumberFormat="1" applyFont="1" applyFill="1" applyBorder="1"/>
    <xf numFmtId="37" fontId="2" fillId="0" borderId="0" xfId="0" applyNumberFormat="1" applyFont="1"/>
    <xf numFmtId="37" fontId="2" fillId="0" borderId="0" xfId="0" applyNumberFormat="1" applyFont="1" applyBorder="1"/>
    <xf numFmtId="166" fontId="2" fillId="0" borderId="0" xfId="0" applyNumberFormat="1" applyFont="1"/>
    <xf numFmtId="37" fontId="2" fillId="0" borderId="1" xfId="0" applyNumberFormat="1" applyFont="1" applyBorder="1"/>
    <xf numFmtId="166" fontId="2" fillId="0" borderId="0" xfId="0" applyNumberFormat="1" applyFont="1" applyBorder="1"/>
    <xf numFmtId="37" fontId="2" fillId="0" borderId="0" xfId="0" applyNumberFormat="1" applyFont="1" applyFill="1"/>
    <xf numFmtId="37" fontId="2" fillId="0" borderId="0" xfId="0" applyNumberFormat="1" applyFont="1" applyFill="1" applyBorder="1" applyAlignment="1"/>
    <xf numFmtId="37" fontId="3" fillId="0" borderId="3" xfId="0" applyNumberFormat="1" applyFont="1" applyFill="1" applyBorder="1" applyAlignment="1"/>
    <xf numFmtId="37" fontId="2" fillId="0" borderId="0" xfId="0" applyNumberFormat="1" applyFont="1" applyFill="1" applyBorder="1"/>
    <xf numFmtId="0" fontId="2" fillId="0" borderId="0" xfId="0" applyFont="1" applyFill="1" applyBorder="1"/>
    <xf numFmtId="37" fontId="5" fillId="0" borderId="0" xfId="0" applyNumberFormat="1" applyFont="1" applyFill="1"/>
    <xf numFmtId="37" fontId="2" fillId="0" borderId="0" xfId="0" applyNumberFormat="1" applyFont="1" applyFill="1" applyAlignment="1"/>
    <xf numFmtId="0" fontId="2" fillId="0" borderId="0" xfId="0" applyFont="1" applyFill="1"/>
    <xf numFmtId="0" fontId="9" fillId="0" borderId="0" xfId="0" applyFont="1"/>
    <xf numFmtId="0" fontId="12" fillId="0" borderId="0" xfId="0" applyFont="1" applyFill="1" applyAlignment="1">
      <alignment horizontal="center" vertical="center" wrapText="1"/>
    </xf>
    <xf numFmtId="37" fontId="0" fillId="0" borderId="0" xfId="0" applyNumberFormat="1" applyBorder="1"/>
    <xf numFmtId="0" fontId="1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/>
    <xf numFmtId="0" fontId="9" fillId="3" borderId="0" xfId="0" applyFont="1" applyFill="1"/>
    <xf numFmtId="0" fontId="4" fillId="2" borderId="0" xfId="0" applyFont="1" applyFill="1" applyAlignment="1">
      <alignment vertical="center" wrapText="1"/>
    </xf>
    <xf numFmtId="37" fontId="2" fillId="4" borderId="0" xfId="0" applyNumberFormat="1" applyFont="1" applyFill="1" applyBorder="1"/>
    <xf numFmtId="37" fontId="2" fillId="4" borderId="0" xfId="0" applyNumberFormat="1" applyFont="1" applyFill="1"/>
    <xf numFmtId="3" fontId="7" fillId="2" borderId="0" xfId="0" applyNumberFormat="1" applyFont="1" applyFill="1" applyBorder="1" applyAlignment="1">
      <alignment horizontal="center"/>
    </xf>
    <xf numFmtId="37" fontId="0" fillId="0" borderId="0" xfId="0" applyNumberFormat="1" applyFill="1"/>
    <xf numFmtId="0" fontId="16" fillId="0" borderId="0" xfId="0" applyFont="1"/>
    <xf numFmtId="166" fontId="17" fillId="0" borderId="0" xfId="0" applyNumberFormat="1" applyFont="1"/>
    <xf numFmtId="37" fontId="4" fillId="0" borderId="3" xfId="0" applyNumberFormat="1" applyFont="1" applyFill="1" applyBorder="1"/>
    <xf numFmtId="37" fontId="4" fillId="0" borderId="0" xfId="0" applyNumberFormat="1" applyFont="1" applyFill="1" applyBorder="1"/>
    <xf numFmtId="165" fontId="0" fillId="0" borderId="0" xfId="0" applyNumberFormat="1"/>
    <xf numFmtId="37" fontId="13" fillId="2" borderId="0" xfId="0" applyNumberFormat="1" applyFont="1" applyFill="1" applyBorder="1" applyAlignment="1"/>
    <xf numFmtId="3" fontId="0" fillId="0" borderId="0" xfId="0" applyNumberFormat="1"/>
    <xf numFmtId="0" fontId="0" fillId="5" borderId="0" xfId="0" applyFill="1"/>
    <xf numFmtId="0" fontId="8" fillId="5" borderId="0" xfId="0" applyFont="1" applyFill="1"/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left"/>
    </xf>
    <xf numFmtId="37" fontId="2" fillId="0" borderId="1" xfId="0" applyNumberFormat="1" applyFont="1" applyFill="1" applyBorder="1" applyAlignment="1"/>
    <xf numFmtId="37" fontId="2" fillId="0" borderId="4" xfId="0" applyNumberFormat="1" applyFont="1" applyBorder="1"/>
    <xf numFmtId="0" fontId="3" fillId="0" borderId="0" xfId="0" applyFont="1" applyFill="1" applyBorder="1"/>
    <xf numFmtId="164" fontId="0" fillId="0" borderId="0" xfId="0" applyNumberFormat="1"/>
    <xf numFmtId="166" fontId="17" fillId="0" borderId="0" xfId="0" applyNumberFormat="1" applyFont="1" applyFill="1"/>
    <xf numFmtId="0" fontId="2" fillId="0" borderId="0" xfId="0" applyFont="1" applyBorder="1"/>
    <xf numFmtId="37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/>
    <xf numFmtId="166" fontId="0" fillId="0" borderId="0" xfId="0" applyNumberFormat="1"/>
    <xf numFmtId="166" fontId="0" fillId="0" borderId="0" xfId="0" applyNumberFormat="1" applyFill="1"/>
    <xf numFmtId="37" fontId="3" fillId="0" borderId="0" xfId="1" applyFont="1" applyAlignment="1">
      <alignment horizontal="center"/>
    </xf>
    <xf numFmtId="37" fontId="1" fillId="0" borderId="0" xfId="1" applyFont="1"/>
    <xf numFmtId="37" fontId="1" fillId="0" borderId="0" xfId="1" applyNumberFormat="1" applyFont="1" applyAlignment="1" applyProtection="1">
      <alignment horizontal="left"/>
    </xf>
    <xf numFmtId="5" fontId="1" fillId="0" borderId="0" xfId="1" applyNumberFormat="1" applyFont="1"/>
    <xf numFmtId="37" fontId="20" fillId="0" borderId="0" xfId="1"/>
    <xf numFmtId="0" fontId="3" fillId="6" borderId="0" xfId="0" applyFont="1" applyFill="1"/>
    <xf numFmtId="0" fontId="0" fillId="6" borderId="0" xfId="0" applyFill="1"/>
    <xf numFmtId="37" fontId="8" fillId="7" borderId="0" xfId="1" applyFont="1" applyFill="1" applyAlignment="1">
      <alignment vertical="top" wrapText="1"/>
    </xf>
    <xf numFmtId="37" fontId="1" fillId="7" borderId="0" xfId="1" applyFont="1" applyFill="1"/>
    <xf numFmtId="37" fontId="1" fillId="7" borderId="0" xfId="1" applyNumberFormat="1" applyFont="1" applyFill="1" applyAlignment="1" applyProtection="1">
      <alignment horizontal="center" wrapText="1"/>
    </xf>
    <xf numFmtId="37" fontId="8" fillId="7" borderId="0" xfId="1" applyFont="1" applyFill="1" applyAlignment="1">
      <alignment horizontal="center" wrapText="1"/>
    </xf>
    <xf numFmtId="37" fontId="20" fillId="7" borderId="0" xfId="1" applyFill="1"/>
    <xf numFmtId="37" fontId="3" fillId="0" borderId="0" xfId="1" applyFont="1"/>
    <xf numFmtId="0" fontId="3" fillId="0" borderId="0" xfId="1" quotePrefix="1" applyNumberFormat="1" applyFont="1" applyAlignment="1" applyProtection="1">
      <alignment horizontal="center"/>
    </xf>
    <xf numFmtId="168" fontId="1" fillId="0" borderId="0" xfId="1" quotePrefix="1" applyNumberFormat="1" applyFont="1" applyFill="1" applyAlignment="1" applyProtection="1">
      <alignment horizontal="center"/>
    </xf>
    <xf numFmtId="37" fontId="1" fillId="0" borderId="0" xfId="1" applyNumberFormat="1" applyFont="1" applyAlignment="1" applyProtection="1">
      <alignment horizontal="center"/>
    </xf>
    <xf numFmtId="167" fontId="1" fillId="0" borderId="0" xfId="1" applyNumberFormat="1" applyFont="1" applyProtection="1"/>
    <xf numFmtId="37" fontId="1" fillId="8" borderId="0" xfId="1" quotePrefix="1" applyNumberFormat="1" applyFont="1" applyFill="1" applyAlignment="1" applyProtection="1">
      <alignment horizontal="left"/>
    </xf>
    <xf numFmtId="5" fontId="1" fillId="8" borderId="0" xfId="1" applyNumberFormat="1" applyFont="1" applyFill="1" applyProtection="1"/>
    <xf numFmtId="9" fontId="1" fillId="0" borderId="0" xfId="1" applyNumberFormat="1" applyFont="1" applyProtection="1"/>
    <xf numFmtId="164" fontId="1" fillId="0" borderId="0" xfId="1" applyNumberFormat="1" applyFont="1" applyProtection="1"/>
    <xf numFmtId="166" fontId="1" fillId="0" borderId="0" xfId="1" applyNumberFormat="1" applyFont="1"/>
    <xf numFmtId="37" fontId="1" fillId="9" borderId="0" xfId="1" applyNumberFormat="1" applyFont="1" applyFill="1" applyAlignment="1" applyProtection="1">
      <alignment horizontal="center"/>
    </xf>
    <xf numFmtId="37" fontId="1" fillId="0" borderId="0" xfId="1" applyNumberFormat="1" applyFont="1" applyFill="1" applyAlignment="1" applyProtection="1">
      <alignment horizontal="center"/>
    </xf>
    <xf numFmtId="37" fontId="1" fillId="8" borderId="0" xfId="1" applyNumberFormat="1" applyFont="1" applyFill="1" applyAlignment="1" applyProtection="1">
      <alignment horizontal="left"/>
    </xf>
    <xf numFmtId="165" fontId="1" fillId="8" borderId="0" xfId="1" applyNumberFormat="1" applyFont="1" applyFill="1" applyProtection="1"/>
    <xf numFmtId="37" fontId="1" fillId="4" borderId="0" xfId="0" applyNumberFormat="1" applyFont="1" applyFill="1"/>
    <xf numFmtId="37" fontId="1" fillId="0" borderId="0" xfId="0" applyNumberFormat="1" applyFont="1" applyFill="1"/>
    <xf numFmtId="0" fontId="11" fillId="2" borderId="0" xfId="0" applyFont="1" applyFill="1" applyBorder="1" applyAlignment="1">
      <alignment horizontal="center"/>
    </xf>
    <xf numFmtId="0" fontId="0" fillId="6" borderId="0" xfId="0" quotePrefix="1" applyFill="1" applyAlignment="1">
      <alignment horizontal="left" vertical="top" wrapText="1"/>
    </xf>
    <xf numFmtId="37" fontId="1" fillId="9" borderId="0" xfId="1" applyNumberFormat="1" applyFont="1" applyFill="1" applyAlignment="1" applyProtection="1">
      <alignment horizontal="center"/>
    </xf>
  </cellXfs>
  <cellStyles count="2">
    <cellStyle name="Normal" xfId="0" builtinId="0"/>
    <cellStyle name="Normal_Brooks.Compensation.Hours.2005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  <pageSetUpPr fitToPage="1"/>
  </sheetPr>
  <dimension ref="A1:BF78"/>
  <sheetViews>
    <sheetView tabSelected="1" workbookViewId="0">
      <pane xSplit="1" ySplit="4" topLeftCell="B14" activePane="bottomRight" state="frozen"/>
      <selection activeCell="A46" sqref="A46"/>
      <selection pane="topRight" activeCell="A46" sqref="A46"/>
      <selection pane="bottomLeft" activeCell="A46" sqref="A46"/>
      <selection pane="bottomRight" activeCell="B30" sqref="B30"/>
    </sheetView>
  </sheetViews>
  <sheetFormatPr defaultRowHeight="12.75"/>
  <cols>
    <col min="1" max="1" width="28.85546875" bestFit="1" customWidth="1"/>
    <col min="2" max="2" width="10.140625" bestFit="1" customWidth="1"/>
    <col min="3" max="12" width="8.7109375" customWidth="1"/>
    <col min="13" max="13" width="9.7109375" bestFit="1" customWidth="1"/>
    <col min="14" max="14" width="2.28515625" customWidth="1"/>
    <col min="15" max="15" width="14.42578125" bestFit="1" customWidth="1"/>
    <col min="16" max="16" width="8.140625" bestFit="1" customWidth="1"/>
    <col min="17" max="17" width="9.7109375" bestFit="1" customWidth="1"/>
  </cols>
  <sheetData>
    <row r="1" spans="1:19" ht="15">
      <c r="A1" s="91" t="s">
        <v>76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>
      <c r="A2" s="91" t="s">
        <v>70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9" ht="15">
      <c r="A3" s="30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1"/>
      <c r="O3" s="45"/>
      <c r="P3" s="31"/>
    </row>
    <row r="4" spans="1:19">
      <c r="A4" s="5" t="s">
        <v>24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36</v>
      </c>
      <c r="G4" s="6" t="s">
        <v>37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0</v>
      </c>
      <c r="N4" s="7"/>
      <c r="O4" s="8" t="s">
        <v>25</v>
      </c>
      <c r="P4" s="9" t="s">
        <v>10</v>
      </c>
    </row>
    <row r="5" spans="1:19">
      <c r="A5" s="58" t="s">
        <v>77</v>
      </c>
      <c r="B5" s="14">
        <f ca="1">+Assumptions!C5*Assumptions!C4</f>
        <v>0</v>
      </c>
      <c r="C5" s="14">
        <f ca="1">+Assumptions!D5*Assumptions!D4</f>
        <v>87.43</v>
      </c>
      <c r="D5" s="14">
        <f ca="1">+Assumptions!E5*Assumptions!E4</f>
        <v>174.86</v>
      </c>
      <c r="E5" s="14">
        <f ca="1">+Assumptions!F5*Assumptions!F4</f>
        <v>262.29000000000002</v>
      </c>
      <c r="F5" s="14">
        <f ca="1">+Assumptions!G5*Assumptions!G4</f>
        <v>349.72</v>
      </c>
      <c r="G5" s="14">
        <f ca="1">+Assumptions!H5*Assumptions!H4</f>
        <v>437.15000000000003</v>
      </c>
      <c r="H5" s="14">
        <f ca="1">+Assumptions!I5*Assumptions!I4</f>
        <v>524.58000000000004</v>
      </c>
      <c r="I5" s="14">
        <f ca="1">+Assumptions!J5*Assumptions!J4</f>
        <v>612.01</v>
      </c>
      <c r="J5" s="14">
        <f ca="1">+Assumptions!K5*Assumptions!K4</f>
        <v>699.44</v>
      </c>
      <c r="K5" s="14">
        <f ca="1">+Assumptions!L5*Assumptions!L4</f>
        <v>786.87</v>
      </c>
      <c r="L5" s="14">
        <f ca="1">+Assumptions!M5*Assumptions!M4</f>
        <v>874.30000000000007</v>
      </c>
      <c r="M5" s="14">
        <f ca="1">+Assumptions!N5*Assumptions!N4</f>
        <v>961.73</v>
      </c>
      <c r="N5" s="15"/>
      <c r="O5" s="20">
        <f>+SUM(B5:M5)</f>
        <v>5770.3799999999992</v>
      </c>
      <c r="P5" s="16">
        <f t="shared" ref="P5:P10" si="0">O5/$O$10</f>
        <v>1.1615789170038679E-2</v>
      </c>
      <c r="Q5" s="3"/>
      <c r="R5" s="3"/>
      <c r="S5" s="61"/>
    </row>
    <row r="6" spans="1:19">
      <c r="A6" s="58" t="s">
        <v>87</v>
      </c>
      <c r="B6" s="14">
        <f ca="1">+Assumptions!C9*Assumptions!C8</f>
        <v>31500</v>
      </c>
      <c r="C6" s="14">
        <f ca="1">+Assumptions!D9*Assumptions!D8</f>
        <v>31500</v>
      </c>
      <c r="D6" s="14">
        <f ca="1">+Assumptions!E9*Assumptions!E8</f>
        <v>31500</v>
      </c>
      <c r="E6" s="14">
        <f ca="1">+Assumptions!F9*Assumptions!F8</f>
        <v>31500</v>
      </c>
      <c r="F6" s="14">
        <f ca="1">+Assumptions!G9*Assumptions!G8</f>
        <v>31500</v>
      </c>
      <c r="G6" s="14">
        <f ca="1">+Assumptions!H9*Assumptions!H8</f>
        <v>35000</v>
      </c>
      <c r="H6" s="14">
        <f ca="1">+Assumptions!I9*Assumptions!I8</f>
        <v>38500</v>
      </c>
      <c r="I6" s="14">
        <f ca="1">+Assumptions!J9*Assumptions!J8</f>
        <v>42000</v>
      </c>
      <c r="J6" s="14">
        <f ca="1">+Assumptions!K9*Assumptions!K8</f>
        <v>45500</v>
      </c>
      <c r="K6" s="14">
        <f ca="1">+Assumptions!L9*Assumptions!L8</f>
        <v>49000</v>
      </c>
      <c r="L6" s="14">
        <f ca="1">+Assumptions!M9*Assumptions!M8</f>
        <v>52500</v>
      </c>
      <c r="M6" s="14">
        <f ca="1">+Assumptions!N9*Assumptions!N8</f>
        <v>56000</v>
      </c>
      <c r="N6" s="15"/>
      <c r="O6" s="20">
        <f>+SUM(B6:M6)</f>
        <v>476000</v>
      </c>
      <c r="P6" s="16">
        <f t="shared" si="0"/>
        <v>0.9581891738392293</v>
      </c>
      <c r="Q6" s="3"/>
      <c r="R6" s="3"/>
      <c r="S6" s="61"/>
    </row>
    <row r="7" spans="1:19">
      <c r="A7" s="58" t="s">
        <v>88</v>
      </c>
      <c r="B7" s="14">
        <f ca="1">+Assumptions!C13*Assumptions!C12</f>
        <v>1000</v>
      </c>
      <c r="C7" s="14">
        <f ca="1">+Assumptions!D13*Assumptions!D12</f>
        <v>1000</v>
      </c>
      <c r="D7" s="14">
        <f ca="1">+Assumptions!E13*Assumptions!E12</f>
        <v>1000</v>
      </c>
      <c r="E7" s="14">
        <f ca="1">+Assumptions!F13*Assumptions!F12</f>
        <v>1000</v>
      </c>
      <c r="F7" s="14">
        <f ca="1">+Assumptions!G13*Assumptions!G12</f>
        <v>1000</v>
      </c>
      <c r="G7" s="14">
        <f ca="1">+Assumptions!H13*Assumptions!H12</f>
        <v>1000</v>
      </c>
      <c r="H7" s="14">
        <f ca="1">+Assumptions!I13*Assumptions!I12</f>
        <v>1000</v>
      </c>
      <c r="I7" s="14">
        <f ca="1">+Assumptions!J13*Assumptions!J12</f>
        <v>1000</v>
      </c>
      <c r="J7" s="14">
        <f ca="1">+Assumptions!K13*Assumptions!K12</f>
        <v>1000</v>
      </c>
      <c r="K7" s="14">
        <f ca="1">+Assumptions!L13*Assumptions!L12</f>
        <v>1000</v>
      </c>
      <c r="L7" s="14">
        <f ca="1">+Assumptions!M13*Assumptions!M12</f>
        <v>1000</v>
      </c>
      <c r="M7" s="14">
        <f ca="1">+Assumptions!N13*Assumptions!N12</f>
        <v>1000</v>
      </c>
      <c r="N7" s="15"/>
      <c r="O7" s="20">
        <f>+SUM(B7:M7)</f>
        <v>12000</v>
      </c>
      <c r="P7" s="16">
        <f t="shared" si="0"/>
        <v>2.4156029592585612E-2</v>
      </c>
      <c r="Q7" s="3"/>
      <c r="R7" s="3"/>
      <c r="S7" s="61"/>
    </row>
    <row r="8" spans="1:19">
      <c r="A8" s="58" t="s">
        <v>89</v>
      </c>
      <c r="B8" s="14">
        <f ca="1">+Assumptions!C17*Assumptions!C16</f>
        <v>250</v>
      </c>
      <c r="C8" s="14">
        <f ca="1">+Assumptions!D17*Assumptions!D16</f>
        <v>250</v>
      </c>
      <c r="D8" s="14">
        <f ca="1">+Assumptions!E17*Assumptions!E16</f>
        <v>250</v>
      </c>
      <c r="E8" s="14">
        <f ca="1">+Assumptions!F17*Assumptions!F16</f>
        <v>250</v>
      </c>
      <c r="F8" s="14">
        <f ca="1">+Assumptions!G17*Assumptions!G16</f>
        <v>250</v>
      </c>
      <c r="G8" s="14">
        <f ca="1">+Assumptions!H17*Assumptions!H16</f>
        <v>250</v>
      </c>
      <c r="H8" s="14">
        <f ca="1">+Assumptions!I17*Assumptions!I16</f>
        <v>250</v>
      </c>
      <c r="I8" s="14">
        <f ca="1">+Assumptions!J17*Assumptions!J16</f>
        <v>250</v>
      </c>
      <c r="J8" s="14">
        <f ca="1">+Assumptions!K17*Assumptions!K16</f>
        <v>250</v>
      </c>
      <c r="K8" s="14">
        <f ca="1">+Assumptions!L17*Assumptions!L16</f>
        <v>250</v>
      </c>
      <c r="L8" s="14">
        <f ca="1">+Assumptions!M17*Assumptions!M16</f>
        <v>250</v>
      </c>
      <c r="M8" s="14">
        <f ca="1">+Assumptions!N17*Assumptions!N16</f>
        <v>250</v>
      </c>
      <c r="N8" s="15"/>
      <c r="O8" s="20">
        <f>+SUM(B8:M8)</f>
        <v>3000</v>
      </c>
      <c r="P8" s="16">
        <f t="shared" si="0"/>
        <v>6.0390073981464029E-3</v>
      </c>
      <c r="Q8" s="3"/>
      <c r="R8" s="3"/>
      <c r="S8" s="61"/>
    </row>
    <row r="9" spans="1:19">
      <c r="A9" s="58" t="s">
        <v>90</v>
      </c>
      <c r="B9" s="3">
        <f ca="1">+Assumptions!C21*Assumptions!C20</f>
        <v>0</v>
      </c>
      <c r="C9" s="3">
        <f ca="1">+Assumptions!D21*Assumptions!D20</f>
        <v>0</v>
      </c>
      <c r="D9" s="3">
        <f ca="1">+Assumptions!E21*Assumptions!E20</f>
        <v>0</v>
      </c>
      <c r="E9" s="3">
        <f ca="1">+Assumptions!F21*Assumptions!F20</f>
        <v>0</v>
      </c>
      <c r="F9" s="3">
        <f ca="1">+Assumptions!G21*Assumptions!G20</f>
        <v>0</v>
      </c>
      <c r="G9" s="3">
        <f ca="1">+Assumptions!H21*Assumptions!H20</f>
        <v>0</v>
      </c>
      <c r="H9" s="3">
        <f ca="1">+Assumptions!I21*Assumptions!I20</f>
        <v>0</v>
      </c>
      <c r="I9" s="3">
        <f ca="1">+Assumptions!J21*Assumptions!J20</f>
        <v>0</v>
      </c>
      <c r="J9" s="3">
        <f ca="1">+Assumptions!K21*Assumptions!K20</f>
        <v>0</v>
      </c>
      <c r="K9" s="3">
        <f ca="1">+Assumptions!L21*Assumptions!L20</f>
        <v>0</v>
      </c>
      <c r="L9" s="3">
        <f ca="1">+Assumptions!M21*Assumptions!M20</f>
        <v>0</v>
      </c>
      <c r="M9" s="3">
        <f ca="1">+Assumptions!N21*Assumptions!N20</f>
        <v>0</v>
      </c>
      <c r="N9" s="15"/>
      <c r="O9" s="20">
        <f>+SUM(B9:M9)</f>
        <v>0</v>
      </c>
      <c r="P9" s="16">
        <f t="shared" si="0"/>
        <v>0</v>
      </c>
      <c r="Q9" s="3"/>
      <c r="R9" s="3"/>
      <c r="S9" s="61"/>
    </row>
    <row r="10" spans="1:19" ht="13.5" thickBot="1">
      <c r="A10" s="32" t="s">
        <v>11</v>
      </c>
      <c r="B10" s="21">
        <f t="shared" ref="B10:M10" si="1">SUM(B5:B7)</f>
        <v>32500</v>
      </c>
      <c r="C10" s="21">
        <f t="shared" si="1"/>
        <v>32587.43</v>
      </c>
      <c r="D10" s="21">
        <f t="shared" si="1"/>
        <v>32674.86</v>
      </c>
      <c r="E10" s="21">
        <f t="shared" si="1"/>
        <v>32762.29</v>
      </c>
      <c r="F10" s="21">
        <f t="shared" si="1"/>
        <v>32849.72</v>
      </c>
      <c r="G10" s="21">
        <f t="shared" si="1"/>
        <v>36437.15</v>
      </c>
      <c r="H10" s="21">
        <f t="shared" si="1"/>
        <v>40024.58</v>
      </c>
      <c r="I10" s="21">
        <f t="shared" si="1"/>
        <v>43612.01</v>
      </c>
      <c r="J10" s="21">
        <f t="shared" si="1"/>
        <v>47199.44</v>
      </c>
      <c r="K10" s="21">
        <f t="shared" si="1"/>
        <v>50786.87</v>
      </c>
      <c r="L10" s="21">
        <f t="shared" si="1"/>
        <v>54374.3</v>
      </c>
      <c r="M10" s="21">
        <f t="shared" si="1"/>
        <v>57961.73</v>
      </c>
      <c r="N10" s="11"/>
      <c r="O10" s="21">
        <f>SUM(O5:O9)</f>
        <v>496770.38</v>
      </c>
      <c r="P10" s="18">
        <f t="shared" si="0"/>
        <v>1</v>
      </c>
      <c r="Q10" s="3"/>
      <c r="R10" s="3"/>
      <c r="S10" s="61"/>
    </row>
    <row r="11" spans="1:19" ht="13.5" thickTop="1">
      <c r="A11" s="5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8"/>
      <c r="Q11" s="3"/>
      <c r="R11" s="3"/>
      <c r="S11" s="61"/>
    </row>
    <row r="12" spans="1:19">
      <c r="A12" s="49" t="s">
        <v>53</v>
      </c>
      <c r="B12" s="14"/>
      <c r="C12" s="14"/>
      <c r="D12" s="14"/>
      <c r="E12" s="14"/>
      <c r="F12" s="14"/>
      <c r="G12" s="14"/>
      <c r="H12" s="19"/>
      <c r="I12" s="14"/>
      <c r="J12" s="14"/>
      <c r="K12" s="14"/>
      <c r="L12" s="14"/>
      <c r="M12" s="14"/>
      <c r="N12" s="15"/>
      <c r="O12" s="14"/>
      <c r="P12" s="1"/>
      <c r="Q12" s="3"/>
      <c r="S12" s="61"/>
    </row>
    <row r="13" spans="1:19">
      <c r="A13" s="1" t="s">
        <v>67</v>
      </c>
      <c r="B13" s="89">
        <f>+B10*0.5*0.05</f>
        <v>812.5</v>
      </c>
      <c r="C13" s="89">
        <f t="shared" ref="C13:M13" si="2">+C10*0.5*0.05</f>
        <v>814.6857500000001</v>
      </c>
      <c r="D13" s="89">
        <f t="shared" si="2"/>
        <v>816.87150000000008</v>
      </c>
      <c r="E13" s="89">
        <f t="shared" si="2"/>
        <v>819.05725000000007</v>
      </c>
      <c r="F13" s="89">
        <f t="shared" si="2"/>
        <v>821.24300000000005</v>
      </c>
      <c r="G13" s="89">
        <f t="shared" si="2"/>
        <v>910.92875000000004</v>
      </c>
      <c r="H13" s="89">
        <f t="shared" si="2"/>
        <v>1000.6145000000001</v>
      </c>
      <c r="I13" s="89">
        <f t="shared" si="2"/>
        <v>1090.30025</v>
      </c>
      <c r="J13" s="89">
        <f t="shared" si="2"/>
        <v>1179.9860000000001</v>
      </c>
      <c r="K13" s="89">
        <f t="shared" si="2"/>
        <v>1269.6717500000002</v>
      </c>
      <c r="L13" s="89">
        <f t="shared" si="2"/>
        <v>1359.3575000000001</v>
      </c>
      <c r="M13" s="89">
        <f t="shared" si="2"/>
        <v>1449.0432500000002</v>
      </c>
      <c r="N13" s="15"/>
      <c r="O13" s="14">
        <f t="shared" ref="O13:O18" si="3" xml:space="preserve"> SUM(B13:M13)</f>
        <v>12344.259500000002</v>
      </c>
      <c r="P13" s="16">
        <f t="shared" ref="P13:P20" si="4">O13/$O$10</f>
        <v>2.4849024815046344E-2</v>
      </c>
      <c r="Q13" s="41"/>
      <c r="R13" s="3"/>
      <c r="S13" s="61"/>
    </row>
    <row r="14" spans="1:19">
      <c r="A14" s="59" t="s">
        <v>93</v>
      </c>
      <c r="B14" s="3">
        <v>200</v>
      </c>
      <c r="C14" s="3">
        <v>200</v>
      </c>
      <c r="D14" s="3">
        <v>200</v>
      </c>
      <c r="E14" s="3">
        <v>200</v>
      </c>
      <c r="F14" s="3">
        <v>200</v>
      </c>
      <c r="G14" s="3">
        <v>200</v>
      </c>
      <c r="H14" s="3">
        <v>200</v>
      </c>
      <c r="I14" s="3">
        <v>200</v>
      </c>
      <c r="J14" s="3">
        <v>200</v>
      </c>
      <c r="K14" s="3">
        <v>200</v>
      </c>
      <c r="L14" s="3">
        <v>200</v>
      </c>
      <c r="M14" s="3">
        <v>200</v>
      </c>
      <c r="N14" s="15"/>
      <c r="O14" s="14">
        <f t="shared" si="3"/>
        <v>2400</v>
      </c>
      <c r="P14" s="16">
        <f t="shared" si="4"/>
        <v>4.8312059185171225E-3</v>
      </c>
      <c r="Q14" s="41"/>
      <c r="R14" s="3"/>
      <c r="S14" s="61"/>
    </row>
    <row r="15" spans="1:19">
      <c r="A15" s="59" t="s">
        <v>94</v>
      </c>
      <c r="B15" s="3">
        <f>+B6*0.25</f>
        <v>7875</v>
      </c>
      <c r="C15" s="3">
        <f t="shared" ref="C15:M15" si="5">+C6*0.25</f>
        <v>7875</v>
      </c>
      <c r="D15" s="3">
        <f t="shared" si="5"/>
        <v>7875</v>
      </c>
      <c r="E15" s="3">
        <f t="shared" si="5"/>
        <v>7875</v>
      </c>
      <c r="F15" s="3">
        <f t="shared" si="5"/>
        <v>7875</v>
      </c>
      <c r="G15" s="3">
        <f t="shared" si="5"/>
        <v>8750</v>
      </c>
      <c r="H15" s="3">
        <f t="shared" si="5"/>
        <v>9625</v>
      </c>
      <c r="I15" s="3">
        <f t="shared" si="5"/>
        <v>10500</v>
      </c>
      <c r="J15" s="3">
        <f t="shared" si="5"/>
        <v>11375</v>
      </c>
      <c r="K15" s="3">
        <f t="shared" si="5"/>
        <v>12250</v>
      </c>
      <c r="L15" s="3">
        <f t="shared" si="5"/>
        <v>13125</v>
      </c>
      <c r="M15" s="3">
        <f t="shared" si="5"/>
        <v>14000</v>
      </c>
      <c r="N15" s="15"/>
      <c r="O15" s="14">
        <f t="shared" si="3"/>
        <v>119000</v>
      </c>
      <c r="P15" s="16">
        <f t="shared" si="4"/>
        <v>0.23954729345980733</v>
      </c>
      <c r="Q15" s="41"/>
      <c r="R15" s="3"/>
      <c r="S15" s="61"/>
    </row>
    <row r="16" spans="1:19">
      <c r="A16" s="59" t="s">
        <v>95</v>
      </c>
      <c r="B16" s="3">
        <f>B6*0.15</f>
        <v>4725</v>
      </c>
      <c r="C16" s="3">
        <f t="shared" ref="C16:M16" si="6">C6*0.15</f>
        <v>4725</v>
      </c>
      <c r="D16" s="3">
        <f t="shared" si="6"/>
        <v>4725</v>
      </c>
      <c r="E16" s="3">
        <f t="shared" si="6"/>
        <v>4725</v>
      </c>
      <c r="F16" s="3">
        <f t="shared" si="6"/>
        <v>4725</v>
      </c>
      <c r="G16" s="3">
        <f t="shared" si="6"/>
        <v>5250</v>
      </c>
      <c r="H16" s="3">
        <f t="shared" si="6"/>
        <v>5775</v>
      </c>
      <c r="I16" s="3">
        <f t="shared" si="6"/>
        <v>6300</v>
      </c>
      <c r="J16" s="3">
        <f t="shared" si="6"/>
        <v>6825</v>
      </c>
      <c r="K16" s="3">
        <f t="shared" si="6"/>
        <v>7350</v>
      </c>
      <c r="L16" s="3">
        <f t="shared" si="6"/>
        <v>7875</v>
      </c>
      <c r="M16" s="3">
        <f t="shared" si="6"/>
        <v>8400</v>
      </c>
      <c r="N16" s="15"/>
      <c r="O16" s="14">
        <f t="shared" si="3"/>
        <v>71400</v>
      </c>
      <c r="P16" s="16">
        <f t="shared" si="4"/>
        <v>0.1437283760758844</v>
      </c>
      <c r="Q16" s="41"/>
      <c r="R16" s="3"/>
      <c r="S16" s="61"/>
    </row>
    <row r="17" spans="1:58">
      <c r="A17" s="60" t="s">
        <v>96</v>
      </c>
      <c r="B17" s="3">
        <v>450</v>
      </c>
      <c r="C17" s="3">
        <v>450</v>
      </c>
      <c r="D17" s="3">
        <v>450</v>
      </c>
      <c r="E17" s="3">
        <v>450</v>
      </c>
      <c r="F17" s="3">
        <v>450</v>
      </c>
      <c r="G17" s="3">
        <v>450</v>
      </c>
      <c r="H17" s="3">
        <v>450</v>
      </c>
      <c r="I17" s="3">
        <v>450</v>
      </c>
      <c r="J17" s="3">
        <v>450</v>
      </c>
      <c r="K17" s="3">
        <v>450</v>
      </c>
      <c r="L17" s="3">
        <v>450</v>
      </c>
      <c r="M17" s="3">
        <v>450</v>
      </c>
      <c r="N17" s="15"/>
      <c r="O17" s="14">
        <f t="shared" si="3"/>
        <v>5400</v>
      </c>
      <c r="P17" s="16">
        <f t="shared" si="4"/>
        <v>1.0870213316663525E-2</v>
      </c>
      <c r="Q17" s="41"/>
      <c r="R17" s="3"/>
      <c r="S17" s="61"/>
    </row>
    <row r="18" spans="1:58">
      <c r="A18" s="60" t="s">
        <v>97</v>
      </c>
      <c r="B18" s="57">
        <f>(+B101*0.8)*800</f>
        <v>0</v>
      </c>
      <c r="C18" s="57">
        <f t="shared" ref="C18:H18" si="7">(+C101*0.8)*800</f>
        <v>0</v>
      </c>
      <c r="D18" s="57">
        <f t="shared" si="7"/>
        <v>0</v>
      </c>
      <c r="E18" s="57">
        <f t="shared" si="7"/>
        <v>0</v>
      </c>
      <c r="F18" s="57">
        <f t="shared" si="7"/>
        <v>0</v>
      </c>
      <c r="G18" s="57">
        <f t="shared" si="7"/>
        <v>0</v>
      </c>
      <c r="H18" s="57">
        <f t="shared" si="7"/>
        <v>0</v>
      </c>
      <c r="I18" s="57">
        <f>(+I101*0.8)*1000</f>
        <v>0</v>
      </c>
      <c r="J18" s="57">
        <f>(+J101*0.8)*1000</f>
        <v>0</v>
      </c>
      <c r="K18" s="57">
        <f>(+K101*0.8)*1000</f>
        <v>0</v>
      </c>
      <c r="L18" s="57">
        <f>(+L101*0.8)*1000</f>
        <v>0</v>
      </c>
      <c r="M18" s="57">
        <f>(+M101*0.8)*1000</f>
        <v>0</v>
      </c>
      <c r="N18" s="15"/>
      <c r="O18" s="14">
        <f t="shared" si="3"/>
        <v>0</v>
      </c>
      <c r="P18" s="16">
        <f t="shared" si="4"/>
        <v>0</v>
      </c>
      <c r="Q18" s="41"/>
      <c r="R18" s="39"/>
      <c r="S18" s="62"/>
    </row>
    <row r="19" spans="1:58">
      <c r="A19" s="50" t="s">
        <v>54</v>
      </c>
      <c r="B19" s="51">
        <f t="shared" ref="B19:M19" si="8">SUM(B13:B18)</f>
        <v>14062.5</v>
      </c>
      <c r="C19" s="51">
        <f t="shared" si="8"/>
        <v>14064.685750000001</v>
      </c>
      <c r="D19" s="51">
        <f t="shared" si="8"/>
        <v>14066.871499999999</v>
      </c>
      <c r="E19" s="51">
        <f t="shared" si="8"/>
        <v>14069.05725</v>
      </c>
      <c r="F19" s="51">
        <f t="shared" si="8"/>
        <v>14071.243</v>
      </c>
      <c r="G19" s="51">
        <f t="shared" si="8"/>
        <v>15560.928749999999</v>
      </c>
      <c r="H19" s="51">
        <f t="shared" si="8"/>
        <v>17050.6145</v>
      </c>
      <c r="I19" s="51">
        <f t="shared" si="8"/>
        <v>18540.30025</v>
      </c>
      <c r="J19" s="51">
        <f t="shared" si="8"/>
        <v>20029.986000000001</v>
      </c>
      <c r="K19" s="51">
        <f t="shared" si="8"/>
        <v>21519.671750000001</v>
      </c>
      <c r="L19" s="51">
        <f t="shared" si="8"/>
        <v>23009.357499999998</v>
      </c>
      <c r="M19" s="51">
        <f t="shared" si="8"/>
        <v>24499.043250000002</v>
      </c>
      <c r="N19" s="14"/>
      <c r="O19" s="52">
        <f>SUM(O13:O18)</f>
        <v>210544.25950000001</v>
      </c>
      <c r="P19" s="16">
        <f t="shared" si="4"/>
        <v>0.42382611358591876</v>
      </c>
      <c r="R19" s="39"/>
      <c r="S19" s="6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</row>
    <row r="20" spans="1:58" ht="13.5" thickBot="1">
      <c r="A20" s="33" t="s">
        <v>55</v>
      </c>
      <c r="B20" s="21">
        <f t="shared" ref="B20:M20" si="9">(B10-B19)</f>
        <v>18437.5</v>
      </c>
      <c r="C20" s="21">
        <f t="shared" si="9"/>
        <v>18522.74425</v>
      </c>
      <c r="D20" s="21">
        <f t="shared" si="9"/>
        <v>18607.988499999999</v>
      </c>
      <c r="E20" s="21">
        <f t="shared" si="9"/>
        <v>18693.232750000003</v>
      </c>
      <c r="F20" s="21">
        <f t="shared" si="9"/>
        <v>18778.476999999999</v>
      </c>
      <c r="G20" s="21">
        <f t="shared" si="9"/>
        <v>20876.221250000002</v>
      </c>
      <c r="H20" s="21">
        <f t="shared" si="9"/>
        <v>22973.965500000002</v>
      </c>
      <c r="I20" s="21">
        <f t="shared" si="9"/>
        <v>25071.709750000002</v>
      </c>
      <c r="J20" s="21">
        <f t="shared" si="9"/>
        <v>27169.454000000002</v>
      </c>
      <c r="K20" s="21">
        <f t="shared" si="9"/>
        <v>29267.198250000001</v>
      </c>
      <c r="L20" s="21">
        <f t="shared" si="9"/>
        <v>31364.942500000005</v>
      </c>
      <c r="M20" s="21">
        <f t="shared" si="9"/>
        <v>33462.686750000001</v>
      </c>
      <c r="N20" s="11"/>
      <c r="O20" s="21">
        <f>(O10-O19)</f>
        <v>286226.12049999996</v>
      </c>
      <c r="P20" s="16">
        <f t="shared" si="4"/>
        <v>0.57617388641408118</v>
      </c>
      <c r="R20" s="3"/>
      <c r="S20" s="6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</row>
    <row r="21" spans="1:58" ht="13.5" thickTop="1">
      <c r="A21" s="40" t="s">
        <v>56</v>
      </c>
      <c r="B21" s="41">
        <f t="shared" ref="B21:M21" si="10">B20/B10</f>
        <v>0.56730769230769229</v>
      </c>
      <c r="C21" s="41">
        <f t="shared" si="10"/>
        <v>0.56840150481335905</v>
      </c>
      <c r="D21" s="41">
        <f t="shared" si="10"/>
        <v>0.56948946376510867</v>
      </c>
      <c r="E21" s="41">
        <f t="shared" si="10"/>
        <v>0.57057161602561979</v>
      </c>
      <c r="F21" s="41">
        <f t="shared" si="10"/>
        <v>0.57164800795866744</v>
      </c>
      <c r="G21" s="41">
        <f t="shared" si="10"/>
        <v>0.57293781895675155</v>
      </c>
      <c r="H21" s="41">
        <f t="shared" si="10"/>
        <v>0.57399641670193668</v>
      </c>
      <c r="I21" s="41">
        <f t="shared" si="10"/>
        <v>0.57488085850663617</v>
      </c>
      <c r="J21" s="41">
        <f t="shared" si="10"/>
        <v>0.57563085494234678</v>
      </c>
      <c r="K21" s="41">
        <f t="shared" si="10"/>
        <v>0.57627489644469132</v>
      </c>
      <c r="L21" s="41">
        <f t="shared" si="10"/>
        <v>0.57683395464401388</v>
      </c>
      <c r="M21" s="41">
        <f t="shared" si="10"/>
        <v>0.57732380917546799</v>
      </c>
      <c r="Q21" s="12"/>
      <c r="S21" s="61"/>
    </row>
    <row r="22" spans="1:58">
      <c r="B22" s="14"/>
      <c r="C22" s="14"/>
      <c r="D22" s="14"/>
      <c r="E22" s="14"/>
      <c r="F22" s="14"/>
      <c r="G22" s="14"/>
      <c r="H22" s="19"/>
      <c r="I22" s="14"/>
      <c r="J22" s="14"/>
      <c r="K22" s="14"/>
      <c r="L22" s="14"/>
      <c r="M22" s="14"/>
      <c r="N22" s="15"/>
      <c r="O22" s="14"/>
      <c r="P22" s="1"/>
      <c r="Q22" s="12"/>
      <c r="S22" s="61"/>
    </row>
    <row r="23" spans="1:58">
      <c r="A23" s="27" t="s">
        <v>50</v>
      </c>
      <c r="B23" s="14"/>
      <c r="C23" s="14"/>
      <c r="D23" s="14"/>
      <c r="E23" s="14"/>
      <c r="F23" s="14"/>
      <c r="G23" s="14"/>
      <c r="H23" s="2"/>
      <c r="I23" s="14"/>
      <c r="J23" s="14"/>
      <c r="K23" s="14"/>
      <c r="L23" s="14"/>
      <c r="M23" s="14"/>
      <c r="N23" s="15"/>
      <c r="O23" s="14"/>
      <c r="P23" s="16"/>
      <c r="R23" s="3"/>
      <c r="S23" s="61"/>
    </row>
    <row r="24" spans="1:58">
      <c r="A24" s="59" t="s">
        <v>91</v>
      </c>
      <c r="B24" s="37">
        <f ca="1">+Personnel!$D$13/12</f>
        <v>3000</v>
      </c>
      <c r="C24" s="37">
        <f ca="1">+Personnel!$D$13/12</f>
        <v>3000</v>
      </c>
      <c r="D24" s="37">
        <f ca="1">+Personnel!$D$13/12</f>
        <v>3000</v>
      </c>
      <c r="E24" s="37">
        <f ca="1">+Personnel!$D$13/12</f>
        <v>3000</v>
      </c>
      <c r="F24" s="37">
        <f ca="1">+Personnel!$D$13/12</f>
        <v>3000</v>
      </c>
      <c r="G24" s="37">
        <f ca="1">+Personnel!$D$13/12</f>
        <v>3000</v>
      </c>
      <c r="H24" s="37">
        <f ca="1">+Personnel!$D$13/12</f>
        <v>3000</v>
      </c>
      <c r="I24" s="37">
        <f ca="1">+Personnel!$D$13/12</f>
        <v>3000</v>
      </c>
      <c r="J24" s="37">
        <f ca="1">+Personnel!$D$13/12</f>
        <v>3000</v>
      </c>
      <c r="K24" s="37">
        <f ca="1">+Personnel!$D$13/12</f>
        <v>3000</v>
      </c>
      <c r="L24" s="37">
        <f ca="1">+Personnel!$D$13/12</f>
        <v>3000</v>
      </c>
      <c r="M24" s="37">
        <f ca="1">+Personnel!$D$13/12</f>
        <v>3000</v>
      </c>
      <c r="N24" s="15"/>
      <c r="O24" s="14">
        <f t="shared" ref="O24:O60" si="11" xml:space="preserve"> SUM(B24:M24)</f>
        <v>36000</v>
      </c>
      <c r="P24" s="16">
        <f t="shared" ref="P24:P61" si="12">O24/$O$10</f>
        <v>7.2468088777756831E-2</v>
      </c>
      <c r="Q24" s="41"/>
      <c r="R24" s="3"/>
      <c r="S24" s="61"/>
    </row>
    <row r="25" spans="1:58">
      <c r="A25" s="59" t="s">
        <v>92</v>
      </c>
      <c r="B25" s="37">
        <f ca="1">+Personnel!$D$14/12</f>
        <v>0</v>
      </c>
      <c r="C25" s="37">
        <f ca="1">+Personnel!$D$14/12</f>
        <v>0</v>
      </c>
      <c r="D25" s="37">
        <f ca="1">+Personnel!$D$14/12</f>
        <v>0</v>
      </c>
      <c r="E25" s="37">
        <f ca="1">+Personnel!$D$14/12</f>
        <v>0</v>
      </c>
      <c r="F25" s="37">
        <f ca="1">+Personnel!$D$14/12</f>
        <v>0</v>
      </c>
      <c r="G25" s="37">
        <f ca="1">+Personnel!$D$14/12</f>
        <v>0</v>
      </c>
      <c r="H25" s="37">
        <f ca="1">+Personnel!$D$14/12</f>
        <v>0</v>
      </c>
      <c r="I25" s="37">
        <f ca="1">+Personnel!$D$14/12</f>
        <v>0</v>
      </c>
      <c r="J25" s="37">
        <f ca="1">+Personnel!$D$14/12</f>
        <v>0</v>
      </c>
      <c r="K25" s="37">
        <f ca="1">+Personnel!$D$14/12</f>
        <v>0</v>
      </c>
      <c r="L25" s="37">
        <f ca="1">+Personnel!$D$14/12</f>
        <v>0</v>
      </c>
      <c r="M25" s="37">
        <f ca="1">+Personnel!$D$14/12</f>
        <v>0</v>
      </c>
      <c r="N25" s="3"/>
      <c r="O25" s="14">
        <f t="shared" si="11"/>
        <v>0</v>
      </c>
      <c r="P25" s="16">
        <f t="shared" si="12"/>
        <v>0</v>
      </c>
      <c r="Q25" s="41"/>
      <c r="R25" s="3"/>
      <c r="S25" s="61"/>
    </row>
    <row r="26" spans="1:58">
      <c r="A26" s="1" t="s">
        <v>71</v>
      </c>
      <c r="B26" s="37">
        <f ca="1">+Personnel!$D$15/12</f>
        <v>0</v>
      </c>
      <c r="C26" s="37">
        <f ca="1">+Personnel!$D$15/12</f>
        <v>0</v>
      </c>
      <c r="D26" s="37">
        <f ca="1">+Personnel!$D$15/12</f>
        <v>0</v>
      </c>
      <c r="E26" s="37">
        <f ca="1">+Personnel!$D$15/12</f>
        <v>0</v>
      </c>
      <c r="F26" s="37">
        <f ca="1">+Personnel!$D$15/12</f>
        <v>0</v>
      </c>
      <c r="G26" s="37">
        <f ca="1">+Personnel!$D$15/12</f>
        <v>0</v>
      </c>
      <c r="H26" s="37">
        <f ca="1">+Personnel!$D$15/12</f>
        <v>0</v>
      </c>
      <c r="I26" s="37">
        <f ca="1">+Personnel!$D$15/12</f>
        <v>0</v>
      </c>
      <c r="J26" s="37">
        <f ca="1">+Personnel!$D$15/12</f>
        <v>0</v>
      </c>
      <c r="K26" s="37">
        <f ca="1">+Personnel!$D$15/12</f>
        <v>0</v>
      </c>
      <c r="L26" s="37">
        <f ca="1">+Personnel!$D$15/12</f>
        <v>0</v>
      </c>
      <c r="M26" s="37">
        <f ca="1">+Personnel!$D$15/12</f>
        <v>0</v>
      </c>
      <c r="N26" s="3"/>
      <c r="O26" s="14">
        <f t="shared" si="11"/>
        <v>0</v>
      </c>
      <c r="P26" s="16">
        <f t="shared" si="12"/>
        <v>0</v>
      </c>
      <c r="Q26" s="41"/>
      <c r="R26" s="3"/>
      <c r="S26" s="61"/>
    </row>
    <row r="27" spans="1:58">
      <c r="A27" s="1" t="s">
        <v>41</v>
      </c>
      <c r="B27" s="37">
        <f ca="1">+Personnel!$D$7/12</f>
        <v>8333.3333333333339</v>
      </c>
      <c r="C27" s="37">
        <f ca="1">+Personnel!$D$7/12</f>
        <v>8333.3333333333339</v>
      </c>
      <c r="D27" s="37">
        <f ca="1">+Personnel!$D$7/12</f>
        <v>8333.3333333333339</v>
      </c>
      <c r="E27" s="37">
        <f ca="1">+Personnel!$D$7/12</f>
        <v>8333.3333333333339</v>
      </c>
      <c r="F27" s="37">
        <f ca="1">+Personnel!$D$7/12</f>
        <v>8333.3333333333339</v>
      </c>
      <c r="G27" s="37">
        <f ca="1">+Personnel!$D$7/12</f>
        <v>8333.3333333333339</v>
      </c>
      <c r="H27" s="37">
        <f ca="1">+Personnel!$D$7/12</f>
        <v>8333.3333333333339</v>
      </c>
      <c r="I27" s="37">
        <f ca="1">+Personnel!$D$7/12</f>
        <v>8333.3333333333339</v>
      </c>
      <c r="J27" s="37">
        <f ca="1">+Personnel!$D$7/12</f>
        <v>8333.3333333333339</v>
      </c>
      <c r="K27" s="37">
        <f ca="1">+Personnel!$D$7/12</f>
        <v>8333.3333333333339</v>
      </c>
      <c r="L27" s="37">
        <f ca="1">+Personnel!$D$7/12</f>
        <v>8333.3333333333339</v>
      </c>
      <c r="M27" s="37">
        <f ca="1">+Personnel!$D$7/12</f>
        <v>8333.3333333333339</v>
      </c>
      <c r="N27" s="22"/>
      <c r="O27" s="14">
        <f t="shared" si="11"/>
        <v>99999.999999999985</v>
      </c>
      <c r="P27" s="16">
        <f t="shared" si="12"/>
        <v>0.20130024660488008</v>
      </c>
      <c r="Q27" s="41"/>
      <c r="R27" s="3"/>
      <c r="S27" s="61"/>
    </row>
    <row r="28" spans="1:58">
      <c r="A28" s="1" t="s">
        <v>72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2"/>
      <c r="O28" s="14">
        <f t="shared" si="11"/>
        <v>0</v>
      </c>
      <c r="P28" s="16">
        <f t="shared" si="12"/>
        <v>0</v>
      </c>
      <c r="Q28" s="41"/>
      <c r="R28" s="3"/>
      <c r="S28" s="61"/>
    </row>
    <row r="29" spans="1:58">
      <c r="A29" s="1" t="s">
        <v>30</v>
      </c>
      <c r="B29" s="19">
        <v>688</v>
      </c>
      <c r="C29" s="19">
        <v>688</v>
      </c>
      <c r="D29" s="19">
        <v>688</v>
      </c>
      <c r="E29" s="19">
        <v>688</v>
      </c>
      <c r="F29" s="19">
        <v>688</v>
      </c>
      <c r="G29" s="19">
        <v>688</v>
      </c>
      <c r="H29" s="19">
        <v>688</v>
      </c>
      <c r="I29" s="19">
        <v>688</v>
      </c>
      <c r="J29" s="19">
        <v>688</v>
      </c>
      <c r="K29" s="19">
        <v>688</v>
      </c>
      <c r="L29" s="19">
        <v>688</v>
      </c>
      <c r="M29" s="19">
        <v>688</v>
      </c>
      <c r="N29" s="22"/>
      <c r="O29" s="14">
        <f t="shared" si="11"/>
        <v>8256</v>
      </c>
      <c r="P29" s="16">
        <f t="shared" si="12"/>
        <v>1.6619348359698902E-2</v>
      </c>
      <c r="Q29" s="41"/>
      <c r="R29" s="3"/>
      <c r="S29" s="61"/>
    </row>
    <row r="30" spans="1:58">
      <c r="A30" s="1" t="s">
        <v>43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2"/>
      <c r="O30" s="14">
        <f t="shared" si="11"/>
        <v>0</v>
      </c>
      <c r="P30" s="16">
        <f t="shared" si="12"/>
        <v>0</v>
      </c>
      <c r="Q30" s="41"/>
      <c r="R30" s="3"/>
      <c r="S30" s="61"/>
    </row>
    <row r="31" spans="1:58">
      <c r="A31" s="1" t="s">
        <v>23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5"/>
      <c r="O31" s="14">
        <f t="shared" si="11"/>
        <v>0</v>
      </c>
      <c r="P31" s="16">
        <f t="shared" si="12"/>
        <v>0</v>
      </c>
      <c r="Q31" s="55"/>
      <c r="R31" s="3"/>
      <c r="S31" s="61"/>
    </row>
    <row r="32" spans="1:58">
      <c r="A32" s="1" t="s">
        <v>29</v>
      </c>
      <c r="B32" s="37">
        <f>SUM(B24:B25)*0.015</f>
        <v>45</v>
      </c>
      <c r="C32" s="37">
        <f t="shared" ref="C32:M32" si="13">SUM(C24:C25)*0.015</f>
        <v>45</v>
      </c>
      <c r="D32" s="37">
        <f t="shared" si="13"/>
        <v>45</v>
      </c>
      <c r="E32" s="37">
        <f t="shared" si="13"/>
        <v>45</v>
      </c>
      <c r="F32" s="37">
        <f t="shared" si="13"/>
        <v>45</v>
      </c>
      <c r="G32" s="37">
        <f t="shared" si="13"/>
        <v>45</v>
      </c>
      <c r="H32" s="37">
        <f t="shared" si="13"/>
        <v>45</v>
      </c>
      <c r="I32" s="37">
        <f t="shared" si="13"/>
        <v>45</v>
      </c>
      <c r="J32" s="37">
        <f t="shared" si="13"/>
        <v>45</v>
      </c>
      <c r="K32" s="37">
        <f t="shared" si="13"/>
        <v>45</v>
      </c>
      <c r="L32" s="37">
        <f t="shared" si="13"/>
        <v>45</v>
      </c>
      <c r="M32" s="37">
        <f t="shared" si="13"/>
        <v>45</v>
      </c>
      <c r="N32" s="22"/>
      <c r="O32" s="14">
        <f t="shared" si="11"/>
        <v>540</v>
      </c>
      <c r="P32" s="16">
        <f t="shared" si="12"/>
        <v>1.0870213316663527E-3</v>
      </c>
      <c r="Q32" s="41"/>
      <c r="R32" s="3"/>
      <c r="S32" s="61"/>
    </row>
    <row r="33" spans="1:19">
      <c r="A33" s="1" t="s">
        <v>27</v>
      </c>
      <c r="B33" s="36">
        <f>SUM(B24:B27)*0.11</f>
        <v>1246.6666666666667</v>
      </c>
      <c r="C33" s="36">
        <f t="shared" ref="C33:M33" si="14">SUM(C24:C27)*0.11</f>
        <v>1246.6666666666667</v>
      </c>
      <c r="D33" s="36">
        <f t="shared" si="14"/>
        <v>1246.6666666666667</v>
      </c>
      <c r="E33" s="36">
        <f t="shared" si="14"/>
        <v>1246.6666666666667</v>
      </c>
      <c r="F33" s="36">
        <f t="shared" si="14"/>
        <v>1246.6666666666667</v>
      </c>
      <c r="G33" s="36">
        <f t="shared" si="14"/>
        <v>1246.6666666666667</v>
      </c>
      <c r="H33" s="36">
        <f t="shared" si="14"/>
        <v>1246.6666666666667</v>
      </c>
      <c r="I33" s="36">
        <f t="shared" si="14"/>
        <v>1246.6666666666667</v>
      </c>
      <c r="J33" s="36">
        <f t="shared" si="14"/>
        <v>1246.6666666666667</v>
      </c>
      <c r="K33" s="36">
        <f t="shared" si="14"/>
        <v>1246.6666666666667</v>
      </c>
      <c r="L33" s="36">
        <f t="shared" si="14"/>
        <v>1246.6666666666667</v>
      </c>
      <c r="M33" s="36">
        <f t="shared" si="14"/>
        <v>1246.6666666666667</v>
      </c>
      <c r="N33" s="22"/>
      <c r="O33" s="14">
        <f t="shared" si="11"/>
        <v>14959.999999999998</v>
      </c>
      <c r="P33" s="16">
        <f t="shared" si="12"/>
        <v>3.0114516892090059E-2</v>
      </c>
      <c r="Q33" s="41"/>
      <c r="R33" s="3"/>
      <c r="S33" s="61"/>
    </row>
    <row r="34" spans="1:19">
      <c r="A34" s="26" t="s">
        <v>15</v>
      </c>
      <c r="B34" s="19">
        <v>600</v>
      </c>
      <c r="C34" s="19">
        <v>600</v>
      </c>
      <c r="D34" s="19">
        <v>600</v>
      </c>
      <c r="E34" s="19">
        <v>600</v>
      </c>
      <c r="F34" s="19">
        <v>600</v>
      </c>
      <c r="G34" s="19">
        <v>600</v>
      </c>
      <c r="H34" s="19">
        <v>600</v>
      </c>
      <c r="I34" s="19">
        <v>600</v>
      </c>
      <c r="J34" s="19">
        <v>600</v>
      </c>
      <c r="K34" s="19">
        <v>600</v>
      </c>
      <c r="L34" s="19">
        <v>600</v>
      </c>
      <c r="M34" s="19">
        <v>600</v>
      </c>
      <c r="N34" s="15"/>
      <c r="O34" s="14">
        <f t="shared" si="11"/>
        <v>7200</v>
      </c>
      <c r="P34" s="16">
        <f t="shared" si="12"/>
        <v>1.4493617755551368E-2</v>
      </c>
      <c r="Q34" s="41"/>
      <c r="R34" s="3"/>
      <c r="S34" s="61"/>
    </row>
    <row r="35" spans="1:19">
      <c r="A35" s="26" t="s">
        <v>35</v>
      </c>
      <c r="B35" s="90">
        <f>+B10*0.03</f>
        <v>975</v>
      </c>
      <c r="C35" s="90">
        <f t="shared" ref="C35:M35" si="15">+C10*0.03</f>
        <v>977.62289999999996</v>
      </c>
      <c r="D35" s="90">
        <f t="shared" si="15"/>
        <v>980.24580000000003</v>
      </c>
      <c r="E35" s="90">
        <f t="shared" si="15"/>
        <v>982.86869999999999</v>
      </c>
      <c r="F35" s="90">
        <f t="shared" si="15"/>
        <v>985.49159999999995</v>
      </c>
      <c r="G35" s="90">
        <f t="shared" si="15"/>
        <v>1093.1144999999999</v>
      </c>
      <c r="H35" s="90">
        <f t="shared" si="15"/>
        <v>1200.7374</v>
      </c>
      <c r="I35" s="90">
        <f t="shared" si="15"/>
        <v>1308.3603000000001</v>
      </c>
      <c r="J35" s="90">
        <f t="shared" si="15"/>
        <v>1415.9832000000001</v>
      </c>
      <c r="K35" s="90">
        <f t="shared" si="15"/>
        <v>1523.6061</v>
      </c>
      <c r="L35" s="90">
        <f t="shared" si="15"/>
        <v>1631.229</v>
      </c>
      <c r="M35" s="90">
        <f t="shared" si="15"/>
        <v>1738.8519000000001</v>
      </c>
      <c r="N35" s="15"/>
      <c r="O35" s="14">
        <f t="shared" si="11"/>
        <v>14813.1114</v>
      </c>
      <c r="P35" s="16">
        <f t="shared" si="12"/>
        <v>2.9818829778055608E-2</v>
      </c>
      <c r="Q35" s="41"/>
      <c r="R35" s="3"/>
      <c r="S35" s="61"/>
    </row>
    <row r="36" spans="1:19">
      <c r="A36" s="26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5"/>
      <c r="O36" s="14">
        <f t="shared" si="11"/>
        <v>0</v>
      </c>
      <c r="P36" s="16">
        <f t="shared" si="12"/>
        <v>0</v>
      </c>
      <c r="Q36" s="41"/>
      <c r="R36" s="3"/>
      <c r="S36" s="61"/>
    </row>
    <row r="37" spans="1:19">
      <c r="A37" s="26" t="s">
        <v>12</v>
      </c>
      <c r="B37" s="19">
        <v>50</v>
      </c>
      <c r="C37" s="19">
        <v>50</v>
      </c>
      <c r="D37" s="19">
        <v>50</v>
      </c>
      <c r="E37" s="19">
        <v>50</v>
      </c>
      <c r="F37" s="19">
        <v>50</v>
      </c>
      <c r="G37" s="19">
        <v>50</v>
      </c>
      <c r="H37" s="19">
        <v>50</v>
      </c>
      <c r="I37" s="19">
        <v>50</v>
      </c>
      <c r="J37" s="19">
        <v>50</v>
      </c>
      <c r="K37" s="19">
        <v>50</v>
      </c>
      <c r="L37" s="19">
        <v>50</v>
      </c>
      <c r="M37" s="19">
        <v>50</v>
      </c>
      <c r="N37" s="15"/>
      <c r="O37" s="14">
        <f t="shared" si="11"/>
        <v>600</v>
      </c>
      <c r="P37" s="16">
        <f t="shared" si="12"/>
        <v>1.2078014796292806E-3</v>
      </c>
      <c r="Q37" s="41"/>
      <c r="R37" s="3"/>
      <c r="S37" s="61"/>
    </row>
    <row r="38" spans="1:19">
      <c r="A38" s="1" t="s">
        <v>62</v>
      </c>
      <c r="B38" s="19">
        <v>225</v>
      </c>
      <c r="C38" s="19">
        <v>225</v>
      </c>
      <c r="D38" s="19">
        <v>225</v>
      </c>
      <c r="E38" s="19">
        <v>225</v>
      </c>
      <c r="F38" s="19">
        <v>225</v>
      </c>
      <c r="G38" s="19">
        <v>225</v>
      </c>
      <c r="H38" s="19">
        <v>225</v>
      </c>
      <c r="I38" s="19">
        <v>225</v>
      </c>
      <c r="J38" s="19">
        <v>225</v>
      </c>
      <c r="K38" s="19">
        <v>225</v>
      </c>
      <c r="L38" s="19">
        <v>225</v>
      </c>
      <c r="M38" s="19">
        <v>225</v>
      </c>
      <c r="N38" s="15"/>
      <c r="O38" s="14">
        <f t="shared" si="11"/>
        <v>2700</v>
      </c>
      <c r="P38" s="16">
        <f t="shared" si="12"/>
        <v>5.4351066583317627E-3</v>
      </c>
      <c r="Q38" s="41"/>
      <c r="R38" s="3"/>
      <c r="S38" s="61"/>
    </row>
    <row r="39" spans="1:19">
      <c r="A39" s="26" t="s">
        <v>51</v>
      </c>
      <c r="B39" s="19">
        <v>100</v>
      </c>
      <c r="C39" s="19">
        <v>100</v>
      </c>
      <c r="D39" s="19">
        <v>100</v>
      </c>
      <c r="E39" s="19">
        <v>100</v>
      </c>
      <c r="F39" s="19">
        <v>100</v>
      </c>
      <c r="G39" s="19">
        <v>100</v>
      </c>
      <c r="H39" s="19">
        <v>100</v>
      </c>
      <c r="I39" s="19">
        <v>100</v>
      </c>
      <c r="J39" s="19">
        <v>100</v>
      </c>
      <c r="K39" s="19">
        <v>100</v>
      </c>
      <c r="L39" s="19">
        <v>100</v>
      </c>
      <c r="M39" s="19">
        <v>100</v>
      </c>
      <c r="N39" s="22"/>
      <c r="O39" s="14">
        <f t="shared" si="11"/>
        <v>1200</v>
      </c>
      <c r="P39" s="16">
        <f t="shared" si="12"/>
        <v>2.4156029592585612E-3</v>
      </c>
      <c r="Q39" s="41"/>
      <c r="R39" s="3"/>
      <c r="S39" s="61"/>
    </row>
    <row r="40" spans="1:19">
      <c r="A40" s="60" t="s">
        <v>69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2"/>
      <c r="O40" s="14">
        <f t="shared" si="11"/>
        <v>0</v>
      </c>
      <c r="P40" s="16">
        <f t="shared" si="12"/>
        <v>0</v>
      </c>
      <c r="Q40" s="41"/>
      <c r="R40" s="3"/>
      <c r="S40" s="61"/>
    </row>
    <row r="41" spans="1:19">
      <c r="A41" s="1" t="s">
        <v>18</v>
      </c>
      <c r="B41" s="19">
        <v>25.07</v>
      </c>
      <c r="C41" s="19">
        <v>25.07</v>
      </c>
      <c r="D41" s="19">
        <v>25.07</v>
      </c>
      <c r="E41" s="19">
        <v>25.07</v>
      </c>
      <c r="F41" s="19">
        <v>25.07</v>
      </c>
      <c r="G41" s="19">
        <v>25.07</v>
      </c>
      <c r="H41" s="19">
        <v>25.07</v>
      </c>
      <c r="I41" s="19">
        <v>25.07</v>
      </c>
      <c r="J41" s="19">
        <v>25.07</v>
      </c>
      <c r="K41" s="19">
        <v>25.07</v>
      </c>
      <c r="L41" s="19">
        <v>25.07</v>
      </c>
      <c r="M41" s="19">
        <v>25.07</v>
      </c>
      <c r="N41" s="22"/>
      <c r="O41" s="14">
        <f t="shared" si="11"/>
        <v>300.83999999999997</v>
      </c>
      <c r="P41" s="16">
        <f t="shared" si="12"/>
        <v>6.0559166188612127E-4</v>
      </c>
      <c r="Q41" s="41"/>
      <c r="R41" s="3"/>
      <c r="S41" s="61"/>
    </row>
    <row r="42" spans="1:19">
      <c r="A42" s="26" t="s">
        <v>13</v>
      </c>
      <c r="B42" s="19">
        <f t="shared" ref="B42:M42" si="16">B$10*0.002</f>
        <v>65</v>
      </c>
      <c r="C42" s="19">
        <f t="shared" si="16"/>
        <v>65.174859999999995</v>
      </c>
      <c r="D42" s="19">
        <f t="shared" si="16"/>
        <v>65.349720000000005</v>
      </c>
      <c r="E42" s="19">
        <f t="shared" si="16"/>
        <v>65.52458</v>
      </c>
      <c r="F42" s="19">
        <f t="shared" si="16"/>
        <v>65.69944000000001</v>
      </c>
      <c r="G42" s="19">
        <f t="shared" si="16"/>
        <v>72.874300000000005</v>
      </c>
      <c r="H42" s="19">
        <f t="shared" si="16"/>
        <v>80.049160000000001</v>
      </c>
      <c r="I42" s="19">
        <f t="shared" si="16"/>
        <v>87.22402000000001</v>
      </c>
      <c r="J42" s="19">
        <f t="shared" si="16"/>
        <v>94.398880000000005</v>
      </c>
      <c r="K42" s="19">
        <f t="shared" si="16"/>
        <v>101.57374</v>
      </c>
      <c r="L42" s="19">
        <f t="shared" si="16"/>
        <v>108.74860000000001</v>
      </c>
      <c r="M42" s="19">
        <f t="shared" si="16"/>
        <v>115.92346000000001</v>
      </c>
      <c r="N42" s="22"/>
      <c r="O42" s="14">
        <f t="shared" si="11"/>
        <v>987.54075999999998</v>
      </c>
      <c r="P42" s="16">
        <f t="shared" si="12"/>
        <v>1.9879219852037069E-3</v>
      </c>
      <c r="Q42" s="41"/>
      <c r="R42" s="3"/>
      <c r="S42" s="61"/>
    </row>
    <row r="43" spans="1:19">
      <c r="A43" s="26" t="s">
        <v>66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2"/>
      <c r="O43" s="14">
        <f t="shared" si="11"/>
        <v>0</v>
      </c>
      <c r="P43" s="16">
        <f t="shared" si="12"/>
        <v>0</v>
      </c>
      <c r="Q43" s="41"/>
      <c r="R43" s="3"/>
      <c r="S43" s="61"/>
    </row>
    <row r="44" spans="1:19">
      <c r="A44" s="26" t="s">
        <v>73</v>
      </c>
      <c r="B44" s="19">
        <v>200</v>
      </c>
      <c r="C44" s="19">
        <v>200</v>
      </c>
      <c r="D44" s="19">
        <v>200</v>
      </c>
      <c r="E44" s="19">
        <v>200</v>
      </c>
      <c r="F44" s="19">
        <v>200</v>
      </c>
      <c r="G44" s="19">
        <v>200</v>
      </c>
      <c r="H44" s="19">
        <v>200</v>
      </c>
      <c r="I44" s="19">
        <v>200</v>
      </c>
      <c r="J44" s="19">
        <v>200</v>
      </c>
      <c r="K44" s="19">
        <v>200</v>
      </c>
      <c r="L44" s="19">
        <v>200</v>
      </c>
      <c r="M44" s="19">
        <v>200</v>
      </c>
      <c r="N44" s="22"/>
      <c r="O44" s="14">
        <f t="shared" si="11"/>
        <v>2400</v>
      </c>
      <c r="P44" s="16">
        <f t="shared" si="12"/>
        <v>4.8312059185171225E-3</v>
      </c>
      <c r="Q44" s="41"/>
      <c r="R44" s="3"/>
      <c r="S44" s="61"/>
    </row>
    <row r="45" spans="1:19">
      <c r="A45" s="4" t="s">
        <v>34</v>
      </c>
      <c r="B45" s="19">
        <v>50</v>
      </c>
      <c r="C45" s="19">
        <v>50</v>
      </c>
      <c r="D45" s="19">
        <v>50</v>
      </c>
      <c r="E45" s="19">
        <v>50</v>
      </c>
      <c r="F45" s="19">
        <v>50</v>
      </c>
      <c r="G45" s="19">
        <v>50</v>
      </c>
      <c r="H45" s="19">
        <v>50</v>
      </c>
      <c r="I45" s="19">
        <v>50</v>
      </c>
      <c r="J45" s="19">
        <v>50</v>
      </c>
      <c r="K45" s="19">
        <v>50</v>
      </c>
      <c r="L45" s="19">
        <v>50</v>
      </c>
      <c r="M45" s="19">
        <v>50</v>
      </c>
      <c r="N45" s="22"/>
      <c r="O45" s="14">
        <f t="shared" si="11"/>
        <v>600</v>
      </c>
      <c r="P45" s="16">
        <f t="shared" si="12"/>
        <v>1.2078014796292806E-3</v>
      </c>
      <c r="Q45" s="41"/>
      <c r="R45" s="3"/>
      <c r="S45" s="61"/>
    </row>
    <row r="46" spans="1:19">
      <c r="A46" s="60" t="s">
        <v>65</v>
      </c>
      <c r="B46" s="19">
        <v>500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5"/>
      <c r="O46" s="14">
        <f t="shared" si="11"/>
        <v>500</v>
      </c>
      <c r="P46" s="16">
        <f t="shared" si="12"/>
        <v>1.0065012330244005E-3</v>
      </c>
      <c r="Q46" s="41"/>
      <c r="R46" s="3"/>
      <c r="S46" s="61"/>
    </row>
    <row r="47" spans="1:19">
      <c r="A47" s="60" t="s">
        <v>98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5"/>
      <c r="O47" s="14">
        <f t="shared" si="11"/>
        <v>0</v>
      </c>
      <c r="P47" s="16">
        <f t="shared" si="12"/>
        <v>0</v>
      </c>
      <c r="Q47" s="41"/>
      <c r="R47" s="3"/>
      <c r="S47" s="61"/>
    </row>
    <row r="48" spans="1:19">
      <c r="A48" s="26" t="s">
        <v>59</v>
      </c>
      <c r="B48" s="19">
        <f t="shared" ref="B48:M48" si="17">(B$10*0.75)*0.0325</f>
        <v>792.1875</v>
      </c>
      <c r="C48" s="19">
        <f t="shared" si="17"/>
        <v>794.31860625000013</v>
      </c>
      <c r="D48" s="19">
        <f t="shared" si="17"/>
        <v>796.44971250000003</v>
      </c>
      <c r="E48" s="19">
        <f t="shared" si="17"/>
        <v>798.58081874999993</v>
      </c>
      <c r="F48" s="19">
        <f t="shared" si="17"/>
        <v>800.71192500000006</v>
      </c>
      <c r="G48" s="19">
        <f t="shared" si="17"/>
        <v>888.15553125000008</v>
      </c>
      <c r="H48" s="19">
        <f t="shared" si="17"/>
        <v>975.5991375000001</v>
      </c>
      <c r="I48" s="19">
        <f t="shared" si="17"/>
        <v>1063.04274375</v>
      </c>
      <c r="J48" s="19">
        <f t="shared" si="17"/>
        <v>1150.4863500000001</v>
      </c>
      <c r="K48" s="19">
        <f t="shared" si="17"/>
        <v>1237.9299562500003</v>
      </c>
      <c r="L48" s="19">
        <f t="shared" si="17"/>
        <v>1325.3735625000002</v>
      </c>
      <c r="M48" s="19">
        <f t="shared" si="17"/>
        <v>1412.8171687500001</v>
      </c>
      <c r="N48" s="15"/>
      <c r="O48" s="14">
        <f t="shared" si="11"/>
        <v>12035.653012500003</v>
      </c>
      <c r="P48" s="16">
        <f t="shared" si="12"/>
        <v>2.4227799194670187E-2</v>
      </c>
      <c r="Q48" s="41"/>
      <c r="R48" s="3"/>
      <c r="S48" s="61"/>
    </row>
    <row r="49" spans="1:19">
      <c r="A49" s="26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5"/>
      <c r="O49" s="14">
        <f t="shared" si="11"/>
        <v>0</v>
      </c>
      <c r="P49" s="16">
        <f t="shared" si="12"/>
        <v>0</v>
      </c>
      <c r="Q49" s="41"/>
      <c r="R49" s="3"/>
      <c r="S49" s="61"/>
    </row>
    <row r="50" spans="1:19">
      <c r="A50" s="26" t="s">
        <v>52</v>
      </c>
      <c r="B50" s="19">
        <v>350</v>
      </c>
      <c r="C50" s="19">
        <v>350</v>
      </c>
      <c r="D50" s="19">
        <v>350</v>
      </c>
      <c r="E50" s="19">
        <v>350</v>
      </c>
      <c r="F50" s="19">
        <v>350</v>
      </c>
      <c r="G50" s="19">
        <v>350</v>
      </c>
      <c r="H50" s="19">
        <v>350</v>
      </c>
      <c r="I50" s="19">
        <v>350</v>
      </c>
      <c r="J50" s="19">
        <v>350</v>
      </c>
      <c r="K50" s="19">
        <v>350</v>
      </c>
      <c r="L50" s="19">
        <v>350</v>
      </c>
      <c r="M50" s="19">
        <v>350</v>
      </c>
      <c r="N50" s="15"/>
      <c r="O50" s="14">
        <f t="shared" si="11"/>
        <v>4200</v>
      </c>
      <c r="P50" s="16">
        <f t="shared" si="12"/>
        <v>8.4546103574049646E-3</v>
      </c>
      <c r="Q50" s="41"/>
      <c r="R50" s="3"/>
      <c r="S50" s="61"/>
    </row>
    <row r="51" spans="1:19">
      <c r="A51" s="26" t="s">
        <v>28</v>
      </c>
      <c r="B51" s="19">
        <v>50</v>
      </c>
      <c r="C51" s="19">
        <v>50</v>
      </c>
      <c r="D51" s="19">
        <v>50</v>
      </c>
      <c r="E51" s="19">
        <v>50</v>
      </c>
      <c r="F51" s="19">
        <v>50</v>
      </c>
      <c r="G51" s="19">
        <v>50</v>
      </c>
      <c r="H51" s="19">
        <v>50</v>
      </c>
      <c r="I51" s="19">
        <v>50</v>
      </c>
      <c r="J51" s="19">
        <v>50</v>
      </c>
      <c r="K51" s="19">
        <v>50</v>
      </c>
      <c r="L51" s="19">
        <v>50</v>
      </c>
      <c r="M51" s="19">
        <v>50</v>
      </c>
      <c r="N51" s="15"/>
      <c r="O51" s="14">
        <f t="shared" si="11"/>
        <v>600</v>
      </c>
      <c r="P51" s="16">
        <f t="shared" si="12"/>
        <v>1.2078014796292806E-3</v>
      </c>
      <c r="Q51" s="41"/>
      <c r="R51" s="3"/>
      <c r="S51" s="61"/>
    </row>
    <row r="52" spans="1:19">
      <c r="A52" s="26" t="s">
        <v>64</v>
      </c>
      <c r="B52" s="19">
        <v>120</v>
      </c>
      <c r="C52" s="19">
        <v>120</v>
      </c>
      <c r="D52" s="19">
        <v>120</v>
      </c>
      <c r="E52" s="19">
        <v>120</v>
      </c>
      <c r="F52" s="19">
        <v>120</v>
      </c>
      <c r="G52" s="19">
        <v>120</v>
      </c>
      <c r="H52" s="19">
        <v>120</v>
      </c>
      <c r="I52" s="19">
        <v>120</v>
      </c>
      <c r="J52" s="19">
        <v>120</v>
      </c>
      <c r="K52" s="19">
        <v>120</v>
      </c>
      <c r="L52" s="19">
        <v>120</v>
      </c>
      <c r="M52" s="19">
        <v>120</v>
      </c>
      <c r="N52" s="15"/>
      <c r="O52" s="14">
        <f t="shared" si="11"/>
        <v>1440</v>
      </c>
      <c r="P52" s="16">
        <f t="shared" si="12"/>
        <v>2.8987235511102735E-3</v>
      </c>
      <c r="Q52" s="41"/>
      <c r="R52" s="3"/>
      <c r="S52" s="61"/>
    </row>
    <row r="53" spans="1:19">
      <c r="A53" s="26" t="s">
        <v>16</v>
      </c>
      <c r="B53" s="19">
        <v>25</v>
      </c>
      <c r="C53" s="19">
        <v>25</v>
      </c>
      <c r="D53" s="19">
        <v>25</v>
      </c>
      <c r="E53" s="19">
        <v>25</v>
      </c>
      <c r="F53" s="19">
        <v>25</v>
      </c>
      <c r="G53" s="19">
        <v>25</v>
      </c>
      <c r="H53" s="19">
        <v>25</v>
      </c>
      <c r="I53" s="19">
        <v>25</v>
      </c>
      <c r="J53" s="19">
        <v>25</v>
      </c>
      <c r="K53" s="19">
        <v>25</v>
      </c>
      <c r="L53" s="19">
        <v>25</v>
      </c>
      <c r="M53" s="19">
        <v>25</v>
      </c>
      <c r="N53" s="15"/>
      <c r="O53" s="14">
        <f t="shared" si="11"/>
        <v>300</v>
      </c>
      <c r="P53" s="16">
        <f t="shared" si="12"/>
        <v>6.0390073981464031E-4</v>
      </c>
      <c r="Q53" s="41"/>
      <c r="R53" s="3"/>
      <c r="S53" s="61"/>
    </row>
    <row r="54" spans="1:19">
      <c r="A54" s="26" t="s">
        <v>61</v>
      </c>
      <c r="B54" s="19">
        <f>290+125</f>
        <v>415</v>
      </c>
      <c r="C54" s="19">
        <f t="shared" ref="C54:M54" si="18">290+125</f>
        <v>415</v>
      </c>
      <c r="D54" s="19">
        <f t="shared" si="18"/>
        <v>415</v>
      </c>
      <c r="E54" s="19">
        <f t="shared" si="18"/>
        <v>415</v>
      </c>
      <c r="F54" s="19">
        <f t="shared" si="18"/>
        <v>415</v>
      </c>
      <c r="G54" s="19">
        <f t="shared" si="18"/>
        <v>415</v>
      </c>
      <c r="H54" s="19">
        <f t="shared" si="18"/>
        <v>415</v>
      </c>
      <c r="I54" s="19">
        <f t="shared" si="18"/>
        <v>415</v>
      </c>
      <c r="J54" s="19">
        <f t="shared" si="18"/>
        <v>415</v>
      </c>
      <c r="K54" s="19">
        <f t="shared" si="18"/>
        <v>415</v>
      </c>
      <c r="L54" s="19">
        <f t="shared" si="18"/>
        <v>415</v>
      </c>
      <c r="M54" s="19">
        <f t="shared" si="18"/>
        <v>415</v>
      </c>
      <c r="N54" s="15"/>
      <c r="O54" s="14">
        <f t="shared" si="11"/>
        <v>4980</v>
      </c>
      <c r="P54" s="16">
        <f t="shared" si="12"/>
        <v>1.0024752280923029E-2</v>
      </c>
      <c r="Q54" s="41"/>
      <c r="R54" s="3"/>
      <c r="S54" s="61"/>
    </row>
    <row r="55" spans="1:19">
      <c r="A55" s="26" t="s">
        <v>68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5"/>
      <c r="O55" s="14">
        <f t="shared" si="11"/>
        <v>0</v>
      </c>
      <c r="P55" s="16">
        <f t="shared" si="12"/>
        <v>0</v>
      </c>
      <c r="Q55" s="41"/>
      <c r="R55" s="3"/>
      <c r="S55" s="61"/>
    </row>
    <row r="56" spans="1:19">
      <c r="A56" s="1" t="s">
        <v>17</v>
      </c>
      <c r="B56" s="19">
        <v>425</v>
      </c>
      <c r="C56" s="19">
        <v>425</v>
      </c>
      <c r="D56" s="19">
        <v>425</v>
      </c>
      <c r="E56" s="19">
        <v>425</v>
      </c>
      <c r="F56" s="19">
        <v>425</v>
      </c>
      <c r="G56" s="19">
        <v>425</v>
      </c>
      <c r="H56" s="19">
        <v>425</v>
      </c>
      <c r="I56" s="19">
        <v>425</v>
      </c>
      <c r="J56" s="19">
        <v>425</v>
      </c>
      <c r="K56" s="19">
        <v>425</v>
      </c>
      <c r="L56" s="19">
        <v>425</v>
      </c>
      <c r="M56" s="19">
        <v>425</v>
      </c>
      <c r="N56" s="15"/>
      <c r="O56" s="14">
        <f t="shared" si="11"/>
        <v>5100</v>
      </c>
      <c r="P56" s="16">
        <f t="shared" si="12"/>
        <v>1.0266312576848886E-2</v>
      </c>
      <c r="Q56" s="41"/>
      <c r="R56" s="3"/>
      <c r="S56" s="61"/>
    </row>
    <row r="57" spans="1:19">
      <c r="A57" s="4" t="s">
        <v>57</v>
      </c>
      <c r="B57" s="19">
        <v>750</v>
      </c>
      <c r="C57" s="19">
        <v>750</v>
      </c>
      <c r="D57" s="19">
        <v>750</v>
      </c>
      <c r="E57" s="19">
        <v>750</v>
      </c>
      <c r="F57" s="19">
        <v>750</v>
      </c>
      <c r="G57" s="19">
        <v>750</v>
      </c>
      <c r="H57" s="19">
        <v>750</v>
      </c>
      <c r="I57" s="19">
        <v>750</v>
      </c>
      <c r="J57" s="19">
        <v>750</v>
      </c>
      <c r="K57" s="19">
        <v>750</v>
      </c>
      <c r="L57" s="19">
        <v>750</v>
      </c>
      <c r="M57" s="19">
        <v>750</v>
      </c>
      <c r="N57" s="15"/>
      <c r="O57" s="14">
        <f t="shared" si="11"/>
        <v>9000</v>
      </c>
      <c r="P57" s="16">
        <f t="shared" si="12"/>
        <v>1.8117022194439208E-2</v>
      </c>
      <c r="Q57" s="41"/>
      <c r="R57" s="3"/>
      <c r="S57" s="61"/>
    </row>
    <row r="58" spans="1:19">
      <c r="A58" s="26" t="s">
        <v>63</v>
      </c>
      <c r="B58" s="19">
        <v>210</v>
      </c>
      <c r="C58" s="19">
        <v>210</v>
      </c>
      <c r="D58" s="19">
        <v>210</v>
      </c>
      <c r="E58" s="19">
        <v>210</v>
      </c>
      <c r="F58" s="19">
        <v>210</v>
      </c>
      <c r="G58" s="19">
        <v>210</v>
      </c>
      <c r="H58" s="19">
        <v>210</v>
      </c>
      <c r="I58" s="19">
        <v>210</v>
      </c>
      <c r="J58" s="19">
        <v>210</v>
      </c>
      <c r="K58" s="19">
        <v>210</v>
      </c>
      <c r="L58" s="19">
        <v>210</v>
      </c>
      <c r="M58" s="19">
        <v>210</v>
      </c>
      <c r="N58" s="15"/>
      <c r="O58" s="14">
        <f t="shared" si="11"/>
        <v>2520</v>
      </c>
      <c r="P58" s="16">
        <f t="shared" si="12"/>
        <v>5.0727662144429784E-3</v>
      </c>
      <c r="Q58" s="41"/>
      <c r="R58" s="3"/>
      <c r="S58" s="61"/>
    </row>
    <row r="59" spans="1:19">
      <c r="A59" s="1" t="s">
        <v>60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2"/>
      <c r="O59" s="14">
        <f t="shared" si="11"/>
        <v>0</v>
      </c>
      <c r="P59" s="16">
        <f t="shared" si="12"/>
        <v>0</v>
      </c>
      <c r="Q59" s="41"/>
      <c r="R59" s="3"/>
      <c r="S59" s="61"/>
    </row>
    <row r="60" spans="1:19">
      <c r="A60" s="1" t="s">
        <v>19</v>
      </c>
      <c r="B60" s="19">
        <f t="shared" ref="B60:M60" si="19">B$10*$Q61</f>
        <v>0</v>
      </c>
      <c r="C60" s="19">
        <f t="shared" si="19"/>
        <v>0</v>
      </c>
      <c r="D60" s="19">
        <f t="shared" si="19"/>
        <v>0</v>
      </c>
      <c r="E60" s="19">
        <f t="shared" si="19"/>
        <v>0</v>
      </c>
      <c r="F60" s="19">
        <f t="shared" si="19"/>
        <v>0</v>
      </c>
      <c r="G60" s="19">
        <f t="shared" si="19"/>
        <v>0</v>
      </c>
      <c r="H60" s="19">
        <f t="shared" si="19"/>
        <v>0</v>
      </c>
      <c r="I60" s="19">
        <f t="shared" si="19"/>
        <v>0</v>
      </c>
      <c r="J60" s="19">
        <f t="shared" si="19"/>
        <v>0</v>
      </c>
      <c r="K60" s="19">
        <f t="shared" si="19"/>
        <v>0</v>
      </c>
      <c r="L60" s="19">
        <f t="shared" si="19"/>
        <v>0</v>
      </c>
      <c r="M60" s="19">
        <f t="shared" si="19"/>
        <v>0</v>
      </c>
      <c r="N60" s="22"/>
      <c r="O60" s="14">
        <f t="shared" si="11"/>
        <v>0</v>
      </c>
      <c r="P60" s="16">
        <f t="shared" si="12"/>
        <v>0</v>
      </c>
      <c r="Q60" s="41"/>
      <c r="R60" s="3"/>
      <c r="S60" s="61"/>
    </row>
    <row r="61" spans="1:19" ht="13.5" thickBot="1">
      <c r="A61" s="34" t="s">
        <v>33</v>
      </c>
      <c r="B61" s="42">
        <f t="shared" ref="B61:M61" si="20">SUM(B24:B60)</f>
        <v>19240.2575</v>
      </c>
      <c r="C61" s="42">
        <f t="shared" si="20"/>
        <v>18745.18636625</v>
      </c>
      <c r="D61" s="42">
        <f t="shared" si="20"/>
        <v>18750.1152325</v>
      </c>
      <c r="E61" s="42">
        <f t="shared" si="20"/>
        <v>18755.044098749997</v>
      </c>
      <c r="F61" s="42">
        <f t="shared" si="20"/>
        <v>18759.972965000001</v>
      </c>
      <c r="G61" s="42">
        <f t="shared" si="20"/>
        <v>18962.214331249997</v>
      </c>
      <c r="H61" s="42">
        <f t="shared" si="20"/>
        <v>19164.455697500001</v>
      </c>
      <c r="I61" s="42">
        <f t="shared" si="20"/>
        <v>19366.697063749998</v>
      </c>
      <c r="J61" s="42">
        <f t="shared" si="20"/>
        <v>19568.938430000002</v>
      </c>
      <c r="K61" s="42">
        <f t="shared" si="20"/>
        <v>19771.179796250002</v>
      </c>
      <c r="L61" s="42">
        <f t="shared" si="20"/>
        <v>19973.421162499999</v>
      </c>
      <c r="M61" s="42">
        <f t="shared" si="20"/>
        <v>20175.662528749999</v>
      </c>
      <c r="N61" s="43"/>
      <c r="O61" s="42">
        <f>SUM(O24:O60)</f>
        <v>231233.14517249999</v>
      </c>
      <c r="P61" s="16">
        <f t="shared" si="12"/>
        <v>0.46547289146446291</v>
      </c>
      <c r="Q61" s="41"/>
      <c r="R61" s="46"/>
      <c r="S61" s="61"/>
    </row>
    <row r="62" spans="1:19" ht="13.5" thickTop="1">
      <c r="A62" s="12"/>
      <c r="B62" s="15"/>
      <c r="C62" s="15"/>
      <c r="D62" s="15"/>
      <c r="E62" s="15"/>
      <c r="F62" s="15"/>
      <c r="G62" s="15"/>
      <c r="H62" s="22"/>
      <c r="I62" s="15"/>
      <c r="J62" s="15"/>
      <c r="K62" s="15"/>
      <c r="L62" s="15"/>
      <c r="M62" s="15"/>
      <c r="N62" s="15"/>
      <c r="O62" s="14"/>
      <c r="P62" s="16"/>
      <c r="R62" s="3"/>
      <c r="S62" s="61"/>
    </row>
    <row r="63" spans="1:19" ht="13.5" thickBot="1">
      <c r="A63" s="35" t="s">
        <v>20</v>
      </c>
      <c r="B63" s="10">
        <f t="shared" ref="B63:M63" si="21">B20-B61</f>
        <v>-802.75749999999971</v>
      </c>
      <c r="C63" s="10">
        <f t="shared" si="21"/>
        <v>-222.44211625000025</v>
      </c>
      <c r="D63" s="10">
        <f t="shared" si="21"/>
        <v>-142.1267325000008</v>
      </c>
      <c r="E63" s="10">
        <f t="shared" si="21"/>
        <v>-61.811348749994067</v>
      </c>
      <c r="F63" s="10">
        <f t="shared" si="21"/>
        <v>18.504034999998112</v>
      </c>
      <c r="G63" s="10">
        <f t="shared" si="21"/>
        <v>1914.0069187500048</v>
      </c>
      <c r="H63" s="10">
        <f t="shared" si="21"/>
        <v>3809.5098025000007</v>
      </c>
      <c r="I63" s="10">
        <f t="shared" si="21"/>
        <v>5705.0126862500038</v>
      </c>
      <c r="J63" s="10">
        <f t="shared" si="21"/>
        <v>7600.5155699999996</v>
      </c>
      <c r="K63" s="10">
        <f t="shared" si="21"/>
        <v>9496.018453749999</v>
      </c>
      <c r="L63" s="10">
        <f t="shared" si="21"/>
        <v>11391.521337500006</v>
      </c>
      <c r="M63" s="10">
        <f t="shared" si="21"/>
        <v>13287.024221250002</v>
      </c>
      <c r="N63" s="11"/>
      <c r="O63" s="10">
        <f>O20-O61</f>
        <v>54992.975327499968</v>
      </c>
      <c r="P63" s="16">
        <f>O63/$O$10</f>
        <v>0.11070099494961831</v>
      </c>
      <c r="R63" s="3"/>
      <c r="S63" s="61"/>
    </row>
    <row r="64" spans="1:19" ht="13.5" thickTop="1">
      <c r="A64" s="40" t="s">
        <v>46</v>
      </c>
      <c r="B64" s="41">
        <f t="shared" ref="B64:M64" si="22">B63/B10</f>
        <v>-2.4700230769230759E-2</v>
      </c>
      <c r="C64" s="41">
        <f t="shared" si="22"/>
        <v>-6.8260097911986388E-3</v>
      </c>
      <c r="D64" s="41">
        <f t="shared" si="22"/>
        <v>-4.3497273591991152E-3</v>
      </c>
      <c r="E64" s="41">
        <f t="shared" si="22"/>
        <v>-1.8866614253763721E-3</v>
      </c>
      <c r="F64" s="41">
        <f t="shared" si="22"/>
        <v>5.6329353796617169E-4</v>
      </c>
      <c r="G64" s="41">
        <f t="shared" si="22"/>
        <v>5.2528996333412598E-2</v>
      </c>
      <c r="H64" s="41">
        <f t="shared" si="22"/>
        <v>9.5179257408822285E-2</v>
      </c>
      <c r="I64" s="41">
        <f t="shared" si="22"/>
        <v>0.1308128812739886</v>
      </c>
      <c r="J64" s="41">
        <f t="shared" si="22"/>
        <v>0.1610297827686091</v>
      </c>
      <c r="K64" s="41">
        <f t="shared" si="22"/>
        <v>0.18697782426343657</v>
      </c>
      <c r="L64" s="41">
        <f t="shared" si="22"/>
        <v>0.20950194002497513</v>
      </c>
      <c r="M64" s="41">
        <f t="shared" si="22"/>
        <v>0.22923788198264616</v>
      </c>
      <c r="N64" s="56"/>
      <c r="O64" s="1"/>
      <c r="P64" s="16"/>
      <c r="R64" s="3"/>
      <c r="S64" s="61"/>
    </row>
    <row r="65" spans="1:19">
      <c r="A65" s="12"/>
      <c r="B65" s="1"/>
      <c r="C65" s="15"/>
      <c r="D65" s="15"/>
      <c r="E65" s="15"/>
      <c r="F65" s="15"/>
      <c r="G65" s="15"/>
      <c r="H65" s="23"/>
      <c r="I65" s="15"/>
      <c r="J65" s="15"/>
      <c r="K65" s="15"/>
      <c r="L65" s="1"/>
      <c r="M65" s="1"/>
      <c r="N65" s="56"/>
      <c r="O65" s="1"/>
      <c r="P65" s="16"/>
      <c r="R65" s="3"/>
      <c r="S65" s="61"/>
    </row>
    <row r="66" spans="1:19" ht="15">
      <c r="A66" s="28" t="s">
        <v>26</v>
      </c>
      <c r="B66" s="3"/>
      <c r="C66" s="14"/>
      <c r="D66" s="14"/>
      <c r="E66" s="14"/>
      <c r="F66" s="14"/>
      <c r="G66" s="14"/>
      <c r="H66" s="24"/>
      <c r="I66" s="14"/>
      <c r="J66" s="14"/>
      <c r="K66" s="14"/>
      <c r="L66" s="3"/>
      <c r="M66" s="3"/>
      <c r="N66" s="3"/>
      <c r="O66" s="3"/>
      <c r="P66" s="16"/>
      <c r="R66" s="3"/>
      <c r="S66" s="61"/>
    </row>
    <row r="67" spans="1:19">
      <c r="A67" s="1" t="s">
        <v>42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5"/>
      <c r="O67" s="14">
        <f t="shared" ref="O67:O72" si="23" xml:space="preserve"> SUM(B67:M67)</f>
        <v>0</v>
      </c>
      <c r="P67" s="16">
        <f t="shared" ref="P67:P73" si="24">O67/$O$10</f>
        <v>0</v>
      </c>
      <c r="R67" s="3"/>
      <c r="S67" s="61"/>
    </row>
    <row r="68" spans="1:19">
      <c r="A68" s="25" t="s">
        <v>32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>
        <f t="shared" si="23"/>
        <v>0</v>
      </c>
      <c r="P68" s="16">
        <f t="shared" si="24"/>
        <v>0</v>
      </c>
      <c r="R68" s="3"/>
      <c r="S68" s="61"/>
    </row>
    <row r="69" spans="1:19">
      <c r="A69" s="25" t="s">
        <v>31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>
        <f t="shared" si="23"/>
        <v>0</v>
      </c>
      <c r="P69" s="16">
        <f t="shared" si="24"/>
        <v>0</v>
      </c>
      <c r="R69" s="3"/>
      <c r="S69" s="61"/>
    </row>
    <row r="70" spans="1:19">
      <c r="A70" s="19" t="s">
        <v>44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>
        <f t="shared" si="23"/>
        <v>0</v>
      </c>
      <c r="P70" s="16">
        <f t="shared" si="24"/>
        <v>0</v>
      </c>
      <c r="R70" s="3"/>
      <c r="S70" s="61"/>
    </row>
    <row r="71" spans="1:19">
      <c r="A71" s="19" t="s">
        <v>45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>
        <f t="shared" si="23"/>
        <v>0</v>
      </c>
      <c r="P71" s="16">
        <f t="shared" si="24"/>
        <v>0</v>
      </c>
      <c r="R71" s="3"/>
      <c r="S71" s="61"/>
    </row>
    <row r="72" spans="1:19">
      <c r="A72" s="19" t="s">
        <v>21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4"/>
      <c r="O72" s="14">
        <f t="shared" si="23"/>
        <v>0</v>
      </c>
      <c r="P72" s="16">
        <f t="shared" si="24"/>
        <v>0</v>
      </c>
      <c r="R72" s="3"/>
      <c r="S72" s="61"/>
    </row>
    <row r="73" spans="1:19" ht="13.5" thickBot="1">
      <c r="A73" s="33" t="s">
        <v>22</v>
      </c>
      <c r="B73" s="13">
        <f t="shared" ref="B73:M73" si="25">B63+SUM(B67:B72)</f>
        <v>-802.75749999999971</v>
      </c>
      <c r="C73" s="13">
        <f t="shared" si="25"/>
        <v>-222.44211625000025</v>
      </c>
      <c r="D73" s="13">
        <f t="shared" si="25"/>
        <v>-142.1267325000008</v>
      </c>
      <c r="E73" s="13">
        <f t="shared" si="25"/>
        <v>-61.811348749994067</v>
      </c>
      <c r="F73" s="13">
        <f t="shared" si="25"/>
        <v>18.504034999998112</v>
      </c>
      <c r="G73" s="13">
        <f t="shared" si="25"/>
        <v>1914.0069187500048</v>
      </c>
      <c r="H73" s="13">
        <f t="shared" si="25"/>
        <v>3809.5098025000007</v>
      </c>
      <c r="I73" s="13">
        <f t="shared" si="25"/>
        <v>5705.0126862500038</v>
      </c>
      <c r="J73" s="13">
        <f t="shared" si="25"/>
        <v>7600.5155699999996</v>
      </c>
      <c r="K73" s="13">
        <f t="shared" si="25"/>
        <v>9496.018453749999</v>
      </c>
      <c r="L73" s="13">
        <f t="shared" si="25"/>
        <v>11391.521337500006</v>
      </c>
      <c r="M73" s="13">
        <f t="shared" si="25"/>
        <v>13287.024221250002</v>
      </c>
      <c r="N73" s="13"/>
      <c r="O73" s="13">
        <f>O63+SUM(O67:O72)</f>
        <v>54992.975327499968</v>
      </c>
      <c r="P73" s="16">
        <f t="shared" si="24"/>
        <v>0.11070099494961831</v>
      </c>
      <c r="R73" s="3"/>
      <c r="S73" s="61"/>
    </row>
    <row r="74" spans="1:19" ht="13.5" thickTop="1">
      <c r="R74" s="3"/>
      <c r="S74" s="61"/>
    </row>
    <row r="75" spans="1:19">
      <c r="G75" s="4"/>
      <c r="R75" s="3"/>
    </row>
    <row r="76" spans="1:19"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9">
      <c r="G77" s="4"/>
    </row>
    <row r="78" spans="1:19">
      <c r="G78" s="4"/>
    </row>
  </sheetData>
  <mergeCells count="2">
    <mergeCell ref="A1:P1"/>
    <mergeCell ref="A2:P2"/>
  </mergeCells>
  <phoneticPr fontId="0" type="noConversion"/>
  <printOptions horizontalCentered="1"/>
  <pageMargins left="0.25" right="0.25" top="0.25" bottom="0.25" header="0.25" footer="0.15"/>
  <pageSetup scale="64" orientation="portrait" r:id="rId1"/>
  <headerFooter alignWithMargins="0">
    <oddFooter>&amp;L&amp;8Advisors On Target 2006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8"/>
  </sheetPr>
  <dimension ref="A1:J22"/>
  <sheetViews>
    <sheetView zoomScaleNormal="100" workbookViewId="0">
      <pane xSplit="2" ySplit="1" topLeftCell="C2" activePane="bottomRight" state="frozen"/>
      <selection activeCell="H35" sqref="H35"/>
      <selection pane="topRight" activeCell="H35" sqref="H35"/>
      <selection pane="bottomLeft" activeCell="H35" sqref="H35"/>
      <selection pane="bottomRight" activeCell="D7" sqref="D7"/>
    </sheetView>
  </sheetViews>
  <sheetFormatPr defaultColWidth="10.28515625" defaultRowHeight="12"/>
  <cols>
    <col min="1" max="1" width="3" style="67" bestFit="1" customWidth="1"/>
    <col min="2" max="2" width="19" style="67" customWidth="1"/>
    <col min="3" max="3" width="3" style="67" customWidth="1"/>
    <col min="4" max="4" width="11.85546875" style="67" bestFit="1" customWidth="1"/>
    <col min="5" max="5" width="3" style="67" customWidth="1"/>
    <col min="6" max="6" width="8.28515625" style="67" bestFit="1" customWidth="1"/>
    <col min="7" max="7" width="3" style="67" customWidth="1"/>
    <col min="8" max="8" width="35.5703125" style="67" bestFit="1" customWidth="1"/>
    <col min="9" max="13" width="10.28515625" style="67" customWidth="1"/>
    <col min="14" max="16" width="11.28515625" style="67" bestFit="1" customWidth="1"/>
    <col min="17" max="16384" width="10.28515625" style="67"/>
  </cols>
  <sheetData>
    <row r="1" spans="1:10" ht="12.75">
      <c r="A1" s="70"/>
      <c r="B1" s="70"/>
      <c r="C1" s="71"/>
      <c r="D1" s="72"/>
      <c r="E1" s="73"/>
      <c r="F1" s="74"/>
      <c r="G1" s="71"/>
      <c r="H1" s="74"/>
      <c r="I1" s="74"/>
      <c r="J1" s="74"/>
    </row>
    <row r="2" spans="1:10" ht="12.75">
      <c r="A2" s="65"/>
      <c r="B2" s="75" t="s">
        <v>78</v>
      </c>
      <c r="C2" s="64"/>
      <c r="D2" s="76">
        <v>2013</v>
      </c>
      <c r="E2" s="77"/>
      <c r="F2" s="78" t="s">
        <v>39</v>
      </c>
      <c r="G2" s="64"/>
      <c r="H2" s="68" t="s">
        <v>75</v>
      </c>
      <c r="I2" s="69"/>
      <c r="J2" s="69"/>
    </row>
    <row r="3" spans="1:10" ht="12.75">
      <c r="C3" s="64"/>
      <c r="D3" s="79"/>
      <c r="E3" s="64"/>
      <c r="F3" s="64"/>
      <c r="G3" s="64"/>
      <c r="H3" s="92" t="s">
        <v>79</v>
      </c>
      <c r="I3" s="92"/>
      <c r="J3" s="92"/>
    </row>
    <row r="4" spans="1:10" ht="12.75">
      <c r="C4" s="64"/>
      <c r="D4" s="79"/>
      <c r="E4" s="64"/>
      <c r="F4" s="64"/>
      <c r="G4" s="64"/>
      <c r="H4" s="92"/>
      <c r="I4" s="92"/>
      <c r="J4" s="92"/>
    </row>
    <row r="5" spans="1:10" ht="12.75">
      <c r="C5" s="64"/>
      <c r="D5" s="79"/>
      <c r="E5" s="64"/>
      <c r="F5" s="64"/>
      <c r="G5" s="64"/>
      <c r="H5" s="92"/>
      <c r="I5" s="92"/>
      <c r="J5" s="92"/>
    </row>
    <row r="6" spans="1:10" ht="12.75">
      <c r="A6" s="93" t="s">
        <v>40</v>
      </c>
      <c r="B6" s="93"/>
      <c r="C6" s="64"/>
      <c r="D6" s="79" t="s">
        <v>80</v>
      </c>
      <c r="E6" s="64"/>
      <c r="F6" s="64"/>
      <c r="G6" s="64"/>
      <c r="H6" s="92"/>
      <c r="I6" s="92"/>
      <c r="J6" s="92"/>
    </row>
    <row r="7" spans="1:10" ht="12.75">
      <c r="A7" s="65"/>
      <c r="B7" s="80" t="s">
        <v>81</v>
      </c>
      <c r="C7" s="64"/>
      <c r="D7" s="81">
        <v>100000</v>
      </c>
      <c r="E7" s="66"/>
      <c r="F7" s="82">
        <v>0</v>
      </c>
      <c r="G7" s="64"/>
      <c r="H7" s="92"/>
      <c r="I7" s="92"/>
      <c r="J7" s="92"/>
    </row>
    <row r="8" spans="1:10" ht="12.75">
      <c r="A8" s="65"/>
      <c r="B8" s="80" t="s">
        <v>82</v>
      </c>
      <c r="C8" s="64"/>
      <c r="D8" s="81">
        <v>0</v>
      </c>
      <c r="E8" s="66"/>
      <c r="F8" s="82">
        <v>0</v>
      </c>
      <c r="G8" s="64"/>
    </row>
    <row r="9" spans="1:10" ht="12.75">
      <c r="A9" s="93" t="s">
        <v>83</v>
      </c>
      <c r="B9" s="93"/>
      <c r="C9" s="64"/>
      <c r="D9" s="83"/>
      <c r="E9" s="64"/>
      <c r="F9" s="84"/>
      <c r="G9" s="64"/>
    </row>
    <row r="10" spans="1:10" ht="12.75">
      <c r="A10" s="85"/>
      <c r="B10" s="85"/>
      <c r="C10" s="64"/>
      <c r="D10" s="83"/>
      <c r="E10" s="64"/>
      <c r="F10" s="84"/>
      <c r="G10" s="64"/>
    </row>
    <row r="11" spans="1:10" ht="12.75">
      <c r="A11" s="85"/>
      <c r="B11" s="85"/>
      <c r="C11" s="64"/>
      <c r="D11" s="83"/>
      <c r="E11" s="64"/>
      <c r="F11" s="84"/>
      <c r="G11" s="64"/>
    </row>
    <row r="12" spans="1:10" ht="12.75">
      <c r="A12" s="85"/>
      <c r="B12" s="85"/>
      <c r="C12" s="64"/>
      <c r="D12" s="83"/>
      <c r="E12" s="64"/>
      <c r="F12" s="84"/>
      <c r="G12" s="64"/>
    </row>
    <row r="13" spans="1:10" ht="12.75">
      <c r="A13" s="86"/>
      <c r="B13" s="87" t="s">
        <v>84</v>
      </c>
      <c r="C13" s="64"/>
      <c r="D13" s="88">
        <v>36000</v>
      </c>
      <c r="E13" s="66"/>
      <c r="F13" s="84">
        <v>0</v>
      </c>
      <c r="G13" s="64"/>
    </row>
    <row r="14" spans="1:10" ht="12.75">
      <c r="A14" s="86"/>
      <c r="B14" s="80" t="s">
        <v>85</v>
      </c>
      <c r="C14" s="64"/>
      <c r="D14" s="88">
        <v>0</v>
      </c>
      <c r="E14" s="64"/>
      <c r="F14" s="84">
        <v>0</v>
      </c>
      <c r="G14" s="64"/>
    </row>
    <row r="15" spans="1:10" ht="12.75">
      <c r="A15" s="86"/>
      <c r="B15" s="87" t="s">
        <v>86</v>
      </c>
      <c r="C15" s="64"/>
      <c r="D15" s="88">
        <v>0</v>
      </c>
      <c r="E15" s="66"/>
      <c r="F15" s="84">
        <v>0</v>
      </c>
      <c r="G15" s="64"/>
    </row>
    <row r="16" spans="1:10" ht="12.75">
      <c r="A16" s="86"/>
      <c r="B16" s="87" t="s">
        <v>86</v>
      </c>
      <c r="C16" s="64"/>
      <c r="D16" s="88">
        <v>0</v>
      </c>
      <c r="E16" s="66"/>
      <c r="F16" s="84">
        <v>0</v>
      </c>
      <c r="G16" s="64"/>
    </row>
    <row r="17" spans="1:8" ht="12.75">
      <c r="A17" s="86"/>
      <c r="B17" s="86"/>
      <c r="C17" s="64"/>
      <c r="D17" s="83"/>
      <c r="E17" s="64"/>
      <c r="F17" s="84"/>
      <c r="G17" s="64"/>
    </row>
    <row r="18" spans="1:8" ht="12.75">
      <c r="A18" s="86"/>
      <c r="B18" s="86"/>
      <c r="C18" s="64"/>
      <c r="D18" s="83"/>
      <c r="E18" s="64"/>
      <c r="F18" s="64"/>
      <c r="G18" s="64"/>
      <c r="H18" s="64"/>
    </row>
    <row r="19" spans="1:8" ht="12.75">
      <c r="A19" s="64"/>
      <c r="B19" s="64"/>
      <c r="C19" s="64"/>
      <c r="D19" s="64"/>
      <c r="E19" s="64"/>
      <c r="F19" s="64"/>
      <c r="G19" s="64"/>
      <c r="H19" s="64"/>
    </row>
    <row r="20" spans="1:8" ht="12.75">
      <c r="A20" s="64"/>
      <c r="B20" s="64"/>
      <c r="C20" s="64"/>
      <c r="D20" s="64"/>
      <c r="E20" s="64"/>
      <c r="F20" s="64"/>
      <c r="G20" s="64"/>
      <c r="H20" s="64"/>
    </row>
    <row r="21" spans="1:8" ht="12.75">
      <c r="A21" s="64"/>
      <c r="B21" s="64"/>
      <c r="C21" s="64"/>
      <c r="D21" s="64"/>
      <c r="E21" s="64"/>
      <c r="F21" s="64"/>
      <c r="G21" s="64"/>
      <c r="H21" s="64"/>
    </row>
    <row r="22" spans="1:8" ht="12.75">
      <c r="A22" s="64"/>
      <c r="B22" s="64"/>
      <c r="C22" s="64"/>
      <c r="D22" s="64"/>
      <c r="E22" s="64"/>
      <c r="F22" s="64"/>
      <c r="G22" s="64"/>
      <c r="H22" s="64"/>
    </row>
  </sheetData>
  <mergeCells count="3">
    <mergeCell ref="H3:J7"/>
    <mergeCell ref="A6:B6"/>
    <mergeCell ref="A9:B9"/>
  </mergeCells>
  <phoneticPr fontId="0" type="noConversion"/>
  <pageMargins left="0.25" right="0" top="0.75" bottom="0.25" header="0.5" footer="0.15"/>
  <pageSetup scale="98" orientation="portrait" r:id="rId1"/>
  <headerFooter alignWithMargins="0">
    <oddHeader>&amp;CBudget Personnel Assumptions</oddHeader>
    <oddFooter>&amp;L&amp;8Advisors On Target 2006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51"/>
  </sheetPr>
  <dimension ref="A1:O21"/>
  <sheetViews>
    <sheetView zoomScaleNormal="100" workbookViewId="0">
      <selection activeCell="C9" sqref="C9"/>
    </sheetView>
  </sheetViews>
  <sheetFormatPr defaultRowHeight="12.75"/>
  <cols>
    <col min="1" max="1" width="40" customWidth="1"/>
    <col min="2" max="2" width="7.7109375" bestFit="1" customWidth="1"/>
    <col min="4" max="5" width="8.7109375" bestFit="1" customWidth="1"/>
    <col min="6" max="6" width="9.7109375" bestFit="1" customWidth="1"/>
    <col min="8" max="8" width="9.42578125" bestFit="1" customWidth="1"/>
    <col min="10" max="11" width="9.42578125" bestFit="1" customWidth="1"/>
    <col min="12" max="12" width="8.42578125" bestFit="1" customWidth="1"/>
    <col min="13" max="14" width="9" bestFit="1" customWidth="1"/>
    <col min="15" max="15" width="10.140625" bestFit="1" customWidth="1"/>
  </cols>
  <sheetData>
    <row r="1" spans="1:15">
      <c r="A1" s="63" t="s">
        <v>74</v>
      </c>
      <c r="B1" s="63"/>
      <c r="C1" s="6" t="s">
        <v>1</v>
      </c>
      <c r="D1" s="6" t="s">
        <v>2</v>
      </c>
      <c r="E1" s="6" t="s">
        <v>3</v>
      </c>
      <c r="F1" s="6" t="s">
        <v>4</v>
      </c>
      <c r="G1" s="6" t="s">
        <v>36</v>
      </c>
      <c r="H1" s="6" t="s">
        <v>37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0</v>
      </c>
      <c r="O1" s="6" t="s">
        <v>38</v>
      </c>
    </row>
    <row r="2" spans="1:15">
      <c r="A2" s="47" t="s">
        <v>47</v>
      </c>
      <c r="B2" s="47"/>
      <c r="C2" s="47"/>
      <c r="D2" s="47"/>
      <c r="E2" s="47"/>
      <c r="F2" s="47"/>
      <c r="G2" s="48"/>
      <c r="H2" s="47"/>
      <c r="I2" s="47"/>
      <c r="J2" s="47"/>
      <c r="K2" s="47"/>
      <c r="L2" s="47"/>
      <c r="M2" s="47"/>
      <c r="N2" s="47"/>
      <c r="O2" s="47"/>
    </row>
    <row r="3" spans="1:15">
      <c r="A3" t="s">
        <v>77</v>
      </c>
    </row>
    <row r="4" spans="1:15">
      <c r="A4" t="s">
        <v>48</v>
      </c>
      <c r="C4">
        <v>0</v>
      </c>
      <c r="D4">
        <f t="shared" ref="D4:N4" si="0">+C4+7</f>
        <v>7</v>
      </c>
      <c r="E4">
        <f t="shared" si="0"/>
        <v>14</v>
      </c>
      <c r="F4">
        <f t="shared" si="0"/>
        <v>21</v>
      </c>
      <c r="G4">
        <f t="shared" si="0"/>
        <v>28</v>
      </c>
      <c r="H4">
        <f t="shared" si="0"/>
        <v>35</v>
      </c>
      <c r="I4">
        <f t="shared" si="0"/>
        <v>42</v>
      </c>
      <c r="J4">
        <f t="shared" si="0"/>
        <v>49</v>
      </c>
      <c r="K4">
        <f t="shared" si="0"/>
        <v>56</v>
      </c>
      <c r="L4">
        <f t="shared" si="0"/>
        <v>63</v>
      </c>
      <c r="M4">
        <f t="shared" si="0"/>
        <v>70</v>
      </c>
      <c r="N4">
        <f t="shared" si="0"/>
        <v>77</v>
      </c>
    </row>
    <row r="5" spans="1:15">
      <c r="A5" t="s">
        <v>49</v>
      </c>
      <c r="C5" s="54">
        <v>12.49</v>
      </c>
      <c r="D5" s="54">
        <v>12.49</v>
      </c>
      <c r="E5" s="54">
        <v>12.49</v>
      </c>
      <c r="F5" s="54">
        <v>12.49</v>
      </c>
      <c r="G5" s="54">
        <v>12.49</v>
      </c>
      <c r="H5" s="54">
        <v>12.49</v>
      </c>
      <c r="I5" s="54">
        <v>12.49</v>
      </c>
      <c r="J5" s="54">
        <v>12.49</v>
      </c>
      <c r="K5" s="54">
        <v>12.49</v>
      </c>
      <c r="L5" s="54">
        <v>12.49</v>
      </c>
      <c r="M5" s="54">
        <v>12.49</v>
      </c>
      <c r="N5" s="54">
        <v>12.49</v>
      </c>
    </row>
    <row r="7" spans="1:15">
      <c r="A7" t="s">
        <v>87</v>
      </c>
    </row>
    <row r="8" spans="1:15">
      <c r="A8" t="s">
        <v>48</v>
      </c>
      <c r="C8">
        <v>9</v>
      </c>
      <c r="D8">
        <v>9</v>
      </c>
      <c r="E8">
        <v>9</v>
      </c>
      <c r="F8">
        <v>9</v>
      </c>
      <c r="G8">
        <v>9</v>
      </c>
      <c r="H8">
        <f t="shared" ref="H8:N8" si="1">+G8+1</f>
        <v>10</v>
      </c>
      <c r="I8">
        <f t="shared" si="1"/>
        <v>11</v>
      </c>
      <c r="J8">
        <f t="shared" si="1"/>
        <v>12</v>
      </c>
      <c r="K8">
        <f t="shared" si="1"/>
        <v>13</v>
      </c>
      <c r="L8">
        <f t="shared" si="1"/>
        <v>14</v>
      </c>
      <c r="M8">
        <f t="shared" si="1"/>
        <v>15</v>
      </c>
      <c r="N8">
        <f t="shared" si="1"/>
        <v>16</v>
      </c>
    </row>
    <row r="9" spans="1:15">
      <c r="A9" t="s">
        <v>49</v>
      </c>
      <c r="C9" s="44">
        <v>3500</v>
      </c>
      <c r="D9" s="44">
        <v>3500</v>
      </c>
      <c r="E9" s="44">
        <v>3500</v>
      </c>
      <c r="F9" s="44">
        <v>3500</v>
      </c>
      <c r="G9" s="44">
        <v>3500</v>
      </c>
      <c r="H9" s="44">
        <v>3500</v>
      </c>
      <c r="I9" s="44">
        <v>3500</v>
      </c>
      <c r="J9" s="44">
        <v>3500</v>
      </c>
      <c r="K9" s="44">
        <v>3500</v>
      </c>
      <c r="L9" s="44">
        <v>3500</v>
      </c>
      <c r="M9" s="44">
        <v>3500</v>
      </c>
      <c r="N9" s="44">
        <v>3500</v>
      </c>
    </row>
    <row r="11" spans="1:15">
      <c r="A11" t="s">
        <v>88</v>
      </c>
    </row>
    <row r="12" spans="1:15">
      <c r="A12" t="s">
        <v>48</v>
      </c>
      <c r="C12">
        <v>10</v>
      </c>
      <c r="D12">
        <v>10</v>
      </c>
      <c r="E12">
        <v>10</v>
      </c>
      <c r="F12">
        <v>10</v>
      </c>
      <c r="G12">
        <v>10</v>
      </c>
      <c r="H12">
        <v>10</v>
      </c>
      <c r="I12">
        <v>10</v>
      </c>
      <c r="J12">
        <v>10</v>
      </c>
      <c r="K12">
        <v>10</v>
      </c>
      <c r="L12">
        <v>10</v>
      </c>
      <c r="M12">
        <v>10</v>
      </c>
      <c r="N12">
        <v>10</v>
      </c>
    </row>
    <row r="13" spans="1:15">
      <c r="A13" t="s">
        <v>49</v>
      </c>
      <c r="B13" s="44"/>
      <c r="C13" s="44">
        <v>100</v>
      </c>
      <c r="D13" s="44">
        <v>100</v>
      </c>
      <c r="E13" s="44">
        <v>100</v>
      </c>
      <c r="F13" s="44">
        <v>100</v>
      </c>
      <c r="G13" s="44">
        <v>100</v>
      </c>
      <c r="H13" s="44">
        <v>100</v>
      </c>
      <c r="I13" s="44">
        <v>100</v>
      </c>
      <c r="J13" s="44">
        <v>100</v>
      </c>
      <c r="K13" s="44">
        <v>100</v>
      </c>
      <c r="L13" s="44">
        <v>100</v>
      </c>
      <c r="M13" s="44">
        <v>100</v>
      </c>
      <c r="N13" s="44">
        <v>100</v>
      </c>
    </row>
    <row r="15" spans="1:15">
      <c r="A15" t="s">
        <v>89</v>
      </c>
    </row>
    <row r="16" spans="1:15">
      <c r="A16" t="s">
        <v>48</v>
      </c>
      <c r="C16">
        <v>5</v>
      </c>
      <c r="D16">
        <v>5</v>
      </c>
      <c r="E16">
        <v>5</v>
      </c>
      <c r="F16">
        <v>5</v>
      </c>
      <c r="G16">
        <v>5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</row>
    <row r="17" spans="1:14">
      <c r="A17" t="s">
        <v>49</v>
      </c>
      <c r="B17" s="44"/>
      <c r="C17" s="44">
        <v>50</v>
      </c>
      <c r="D17" s="44">
        <v>50</v>
      </c>
      <c r="E17" s="44">
        <v>50</v>
      </c>
      <c r="F17" s="44">
        <v>50</v>
      </c>
      <c r="G17" s="44">
        <v>50</v>
      </c>
      <c r="H17" s="44">
        <v>50</v>
      </c>
      <c r="I17" s="44">
        <v>50</v>
      </c>
      <c r="J17" s="44">
        <v>50</v>
      </c>
      <c r="K17" s="44">
        <v>50</v>
      </c>
      <c r="L17" s="44">
        <v>50</v>
      </c>
      <c r="M17" s="44">
        <v>50</v>
      </c>
      <c r="N17" s="44">
        <v>50</v>
      </c>
    </row>
    <row r="18" spans="1:14">
      <c r="G18" s="4"/>
    </row>
    <row r="19" spans="1:14">
      <c r="A19" t="s">
        <v>90</v>
      </c>
    </row>
    <row r="20" spans="1:14">
      <c r="A20" t="s">
        <v>48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>
      <c r="A21" t="s">
        <v>49</v>
      </c>
      <c r="B21" s="44"/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</row>
  </sheetData>
  <phoneticPr fontId="0" type="noConversion"/>
  <pageMargins left="0.25" right="0.25" top="1" bottom="1" header="0.5" footer="0.5"/>
  <pageSetup scale="82" orientation="landscape" verticalDpi="0" r:id="rId1"/>
  <headerFooter alignWithMargins="0">
    <oddHeader xml:space="preserve">&amp;CBasic Budget Template Assumptions </oddHeader>
    <oddFooter>&amp;L&amp;8Advisors On Target 2008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2013 Budget</vt:lpstr>
      <vt:lpstr>Personnel</vt:lpstr>
      <vt:lpstr>Assumptions</vt:lpstr>
      <vt:lpstr>'2013 Budget'!Print_Area</vt:lpstr>
      <vt:lpstr>Assumptions!Print_Area</vt:lpstr>
      <vt:lpstr>Personnel!Print_Area</vt:lpstr>
    </vt:vector>
  </TitlesOfParts>
  <Company>Peterson &amp; 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Monitoring 2007</dc:title>
  <dc:creator>Advisors On Target</dc:creator>
  <cp:lastModifiedBy>Compaq_Owner</cp:lastModifiedBy>
  <cp:lastPrinted>2012-09-11T18:25:19Z</cp:lastPrinted>
  <dcterms:created xsi:type="dcterms:W3CDTF">2001-04-23T17:08:10Z</dcterms:created>
  <dcterms:modified xsi:type="dcterms:W3CDTF">2013-05-22T16:12:48Z</dcterms:modified>
</cp:coreProperties>
</file>