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75" yWindow="65311" windowWidth="12120" windowHeight="8415" tabRatio="740" activeTab="1"/>
  </bookViews>
  <sheets>
    <sheet name="Intro" sheetId="1" r:id="rId1"/>
    <sheet name="2012 Budget" sheetId="2" r:id="rId2"/>
    <sheet name="Assumptions" sheetId="3" r:id="rId3"/>
    <sheet name="Personnel" sheetId="4" r:id="rId4"/>
  </sheets>
  <externalReferences>
    <externalReference r:id="rId7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FIXED">#REF!</definedName>
    <definedName name="PRINT">#REF!</definedName>
    <definedName name="_xlnm.Print_Area" localSheetId="1">'2012 Budget'!$A$1:$P$96</definedName>
    <definedName name="_xlnm.Print_Area" localSheetId="2">'Assumptions'!$A$1:$O$38</definedName>
    <definedName name="_xlnm.Print_Area" localSheetId="3">'Personnel'!$A$1:$J$52</definedName>
    <definedName name="PRINT_AREA_MI">#REF!</definedName>
    <definedName name="PRINT_TITLES_MI">#REF!</definedName>
    <definedName name="RANGE1">#REF!</definedName>
    <definedName name="RANGE2">#REF!</definedName>
    <definedName name="RANGE3">#REF!</definedName>
    <definedName name="RANGE4">#REF!</definedName>
    <definedName name="RANGE5">#REF!</definedName>
    <definedName name="RANGE6">#REF!</definedName>
    <definedName name="ROW1">#REF!</definedName>
    <definedName name="ROW2">#REF!</definedName>
    <definedName name="TITLES">#REF!</definedName>
    <definedName name="VARIABLE">#REF!</definedName>
    <definedName name="YEAR">#REF!</definedName>
  </definedNames>
  <calcPr fullCalcOnLoad="1"/>
</workbook>
</file>

<file path=xl/comments2.xml><?xml version="1.0" encoding="utf-8"?>
<comments xmlns="http://schemas.openxmlformats.org/spreadsheetml/2006/main">
  <authors>
    <author>Linnea Blair</author>
  </authors>
  <commentList>
    <comment ref="A5" authorId="0">
      <text>
        <r>
          <rPr>
            <b/>
            <sz val="8"/>
            <rFont val="Tahoma"/>
            <family val="0"/>
          </rPr>
          <t>Can change category names here</t>
        </r>
        <r>
          <rPr>
            <sz val="8"/>
            <rFont val="Tahoma"/>
            <family val="0"/>
          </rPr>
          <t xml:space="preserve">
</t>
        </r>
      </text>
    </comment>
    <comment ref="Q5" authorId="0">
      <text>
        <r>
          <rPr>
            <sz val="8"/>
            <rFont val="Tahoma"/>
            <family val="0"/>
          </rPr>
          <t xml:space="preserve">Type in the % of total revenue to come from each type of service listed in column A.  
</t>
        </r>
      </text>
    </comment>
  </commentList>
</comments>
</file>

<file path=xl/comments3.xml><?xml version="1.0" encoding="utf-8"?>
<comments xmlns="http://schemas.openxmlformats.org/spreadsheetml/2006/main">
  <authors>
    <author>Linnea Blair</author>
  </authors>
  <commentList>
    <comment ref="A2" authorId="0">
      <text>
        <r>
          <rPr>
            <b/>
            <sz val="8"/>
            <rFont val="Tahoma"/>
            <family val="0"/>
          </rPr>
          <t>Number of working days in the month - these are calculated on 2008 calendar - Monday - Friday</t>
        </r>
        <r>
          <rPr>
            <sz val="8"/>
            <rFont val="Tahoma"/>
            <family val="0"/>
          </rPr>
          <t xml:space="preserve">
</t>
        </r>
      </text>
    </comment>
    <comment ref="A3" authorId="0">
      <text>
        <r>
          <rPr>
            <b/>
            <sz val="8"/>
            <rFont val="Tahoma"/>
            <family val="0"/>
          </rPr>
          <t>Type in number of days to subtract for each worker due to weather, absenteeism, holidays etc for each month</t>
        </r>
        <r>
          <rPr>
            <sz val="8"/>
            <rFont val="Tahoma"/>
            <family val="0"/>
          </rPr>
          <t xml:space="preserve">
</t>
        </r>
      </text>
    </comment>
    <comment ref="A4" authorId="0">
      <text>
        <r>
          <rPr>
            <b/>
            <sz val="8"/>
            <rFont val="Tahoma"/>
            <family val="0"/>
          </rPr>
          <t>Working Days Available (calculated)</t>
        </r>
        <r>
          <rPr>
            <sz val="8"/>
            <rFont val="Tahoma"/>
            <family val="0"/>
          </rPr>
          <t xml:space="preserve">
</t>
        </r>
      </text>
    </comment>
    <comment ref="A5" authorId="0">
      <text>
        <r>
          <rPr>
            <b/>
            <sz val="8"/>
            <rFont val="Tahoma"/>
            <family val="0"/>
          </rPr>
          <t>Type in estimated  Overtime hours (average) per worker for each month</t>
        </r>
      </text>
    </comment>
    <comment ref="A6" authorId="0">
      <text>
        <r>
          <rPr>
            <sz val="8"/>
            <rFont val="Tahoma"/>
            <family val="0"/>
          </rPr>
          <t xml:space="preserve">Type in % of time that worker is actually being billed out to jobs, this would exclude training time, unbillable travel time, errands etc. 
</t>
        </r>
      </text>
    </comment>
    <comment ref="A7" authorId="0">
      <text>
        <r>
          <rPr>
            <sz val="8"/>
            <rFont val="Tahoma"/>
            <family val="0"/>
          </rPr>
          <t xml:space="preserve">Total Direct Hours Available per worker (calculated)
</t>
        </r>
      </text>
    </comment>
    <comment ref="A9" authorId="0">
      <text>
        <r>
          <rPr>
            <b/>
            <sz val="8"/>
            <rFont val="Tahoma"/>
            <family val="0"/>
          </rPr>
          <t>Type in number of workers expected for each month</t>
        </r>
        <r>
          <rPr>
            <sz val="8"/>
            <rFont val="Tahoma"/>
            <family val="0"/>
          </rPr>
          <t xml:space="preserve">
</t>
        </r>
      </text>
    </comment>
    <comment ref="A10" authorId="0">
      <text>
        <r>
          <rPr>
            <sz val="8"/>
            <rFont val="Tahoma"/>
            <family val="0"/>
          </rPr>
          <t xml:space="preserve">Total hours available for entire company (calculation)
</t>
        </r>
      </text>
    </comment>
    <comment ref="A12" authorId="0">
      <text>
        <r>
          <rPr>
            <b/>
            <sz val="8"/>
            <rFont val="Tahoma"/>
            <family val="0"/>
          </rPr>
          <t>Type in the amount you bill your customer for each labor hour</t>
        </r>
        <r>
          <rPr>
            <sz val="8"/>
            <rFont val="Tahoma"/>
            <family val="0"/>
          </rPr>
          <t xml:space="preserve">
</t>
        </r>
      </text>
    </comment>
    <comment ref="A13" authorId="0">
      <text>
        <r>
          <rPr>
            <b/>
            <sz val="8"/>
            <rFont val="Tahoma"/>
            <family val="0"/>
          </rPr>
          <t>Type in percentage added per labor hour on average for materials including any markup</t>
        </r>
        <r>
          <rPr>
            <sz val="8"/>
            <rFont val="Tahoma"/>
            <family val="0"/>
          </rPr>
          <t xml:space="preserve">
</t>
        </r>
      </text>
    </comment>
    <comment ref="A14" authorId="0">
      <text>
        <r>
          <rPr>
            <sz val="8"/>
            <rFont val="Tahoma"/>
            <family val="0"/>
          </rPr>
          <t xml:space="preserve">Effective Total Bid rate 
 - (calculated)
</t>
        </r>
      </text>
    </comment>
    <comment ref="A16" authorId="0">
      <text>
        <r>
          <rPr>
            <sz val="8"/>
            <rFont val="Tahoma"/>
            <family val="0"/>
          </rPr>
          <t xml:space="preserve">Effective bid rate times available hours (calculated)
</t>
        </r>
      </text>
    </comment>
    <comment ref="A18" authorId="0">
      <text>
        <r>
          <rPr>
            <sz val="8"/>
            <rFont val="Tahoma"/>
            <family val="0"/>
          </rPr>
          <t xml:space="preserve">Average Field Wage (calculated on Personnel page)
</t>
        </r>
      </text>
    </comment>
    <comment ref="A20" authorId="0">
      <text>
        <r>
          <rPr>
            <b/>
            <sz val="8"/>
            <rFont val="Tahoma"/>
            <family val="0"/>
          </rPr>
          <t>Regular Hours available times number of workers times average wage (calculated)</t>
        </r>
        <r>
          <rPr>
            <sz val="8"/>
            <rFont val="Tahoma"/>
            <family val="0"/>
          </rPr>
          <t xml:space="preserve">
</t>
        </r>
      </text>
    </comment>
    <comment ref="A21" authorId="0">
      <text>
        <r>
          <rPr>
            <b/>
            <sz val="8"/>
            <rFont val="Tahoma"/>
            <family val="0"/>
          </rPr>
          <t>Overtime hours times number of workers times (average wage times 1.5) (calculated)</t>
        </r>
        <r>
          <rPr>
            <sz val="8"/>
            <rFont val="Tahoma"/>
            <family val="0"/>
          </rPr>
          <t xml:space="preserve">
</t>
        </r>
      </text>
    </comment>
    <comment ref="A24" authorId="0">
      <text>
        <r>
          <rPr>
            <b/>
            <sz val="8"/>
            <rFont val="Tahoma"/>
            <family val="0"/>
          </rPr>
          <t>Type in materials cost as a % of revenue (use 12% if you don't know)</t>
        </r>
        <r>
          <rPr>
            <sz val="8"/>
            <rFont val="Tahoma"/>
            <family val="0"/>
          </rPr>
          <t xml:space="preserve">
</t>
        </r>
      </text>
    </comment>
    <comment ref="A26" authorId="0">
      <text>
        <r>
          <rPr>
            <b/>
            <sz val="8"/>
            <rFont val="Tahoma"/>
            <family val="0"/>
          </rPr>
          <t>Type in your workers comp rate per $100 of payroll for field workers</t>
        </r>
        <r>
          <rPr>
            <sz val="8"/>
            <rFont val="Tahoma"/>
            <family val="0"/>
          </rPr>
          <t xml:space="preserve">
</t>
        </r>
      </text>
    </comment>
    <comment ref="A27" authorId="0">
      <text>
        <r>
          <rPr>
            <b/>
            <sz val="8"/>
            <rFont val="Tahoma"/>
            <family val="0"/>
          </rPr>
          <t>Type in your workers comp rate per $100 of payroll for admin/overhead employees</t>
        </r>
        <r>
          <rPr>
            <sz val="8"/>
            <rFont val="Tahoma"/>
            <family val="0"/>
          </rPr>
          <t xml:space="preserve">
</t>
        </r>
      </text>
    </comment>
    <comment ref="A28" authorId="0">
      <text>
        <r>
          <rPr>
            <b/>
            <sz val="8"/>
            <rFont val="Tahoma"/>
            <family val="0"/>
          </rPr>
          <t xml:space="preserve">Use 11% unless yours is different - include Employer portion of SS/Medicare and Unemployment 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HP Authorized Customer</author>
    <author>Linnea Blair</author>
  </authors>
  <commentList>
    <comment ref="B8" authorId="0">
      <text>
        <r>
          <rPr>
            <sz val="8"/>
            <rFont val="Tahoma"/>
            <family val="0"/>
          </rPr>
          <t xml:space="preserve">Second owner salary or Spouse salary if other than office manager. Spouse as Office Manager - see below
</t>
        </r>
      </text>
    </comment>
    <comment ref="B13" authorId="0">
      <text>
        <r>
          <rPr>
            <sz val="8"/>
            <rFont val="Tahoma"/>
            <family val="0"/>
          </rPr>
          <t xml:space="preserve">Office Manager employee or Spouse salary if acting as Office Manager
</t>
        </r>
      </text>
    </comment>
    <comment ref="B21" authorId="1">
      <text>
        <r>
          <rPr>
            <b/>
            <sz val="8"/>
            <rFont val="Tahoma"/>
            <family val="0"/>
          </rPr>
          <t>Enter names of existing field employees/type new painter for as yet unhired workers</t>
        </r>
        <r>
          <rPr>
            <sz val="8"/>
            <rFont val="Tahoma"/>
            <family val="0"/>
          </rPr>
          <t xml:space="preserve">
</t>
        </r>
      </text>
    </comment>
    <comment ref="F19" authorId="1">
      <text>
        <r>
          <rPr>
            <b/>
            <sz val="8"/>
            <rFont val="Tahoma"/>
            <family val="0"/>
          </rPr>
          <t xml:space="preserve">Type in percentage of time worked by each employee estimated to be billed to jobs.  Exclude training time etc. </t>
        </r>
        <r>
          <rPr>
            <sz val="8"/>
            <rFont val="Tahoma"/>
            <family val="0"/>
          </rPr>
          <t xml:space="preserve">
</t>
        </r>
      </text>
    </comment>
    <comment ref="D7" authorId="1">
      <text>
        <r>
          <rPr>
            <b/>
            <sz val="8"/>
            <rFont val="Tahoma"/>
            <family val="0"/>
          </rPr>
          <t>Type in annual salary for each overhead employee or owner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<sst xmlns="http://schemas.openxmlformats.org/spreadsheetml/2006/main" count="177" uniqueCount="150">
  <si>
    <t>Dec</t>
  </si>
  <si>
    <t>Jan</t>
  </si>
  <si>
    <t>Feb</t>
  </si>
  <si>
    <t>Mar</t>
  </si>
  <si>
    <t>Apr</t>
  </si>
  <si>
    <t>Jul</t>
  </si>
  <si>
    <t>Aug</t>
  </si>
  <si>
    <t>Sep</t>
  </si>
  <si>
    <t>Oct</t>
  </si>
  <si>
    <t>Nov</t>
  </si>
  <si>
    <t>Gross Profit</t>
  </si>
  <si>
    <t>%</t>
  </si>
  <si>
    <t>Total Revenue</t>
  </si>
  <si>
    <t>Bad Debts</t>
  </si>
  <si>
    <t>Bank Charges</t>
  </si>
  <si>
    <t>Client Damages</t>
  </si>
  <si>
    <t>Promotion</t>
  </si>
  <si>
    <t>Dues &amp; Subscriptions</t>
  </si>
  <si>
    <t>Gifts</t>
  </si>
  <si>
    <t>Licenses &amp; Permits</t>
  </si>
  <si>
    <t>Miscellaneous Expense</t>
  </si>
  <si>
    <t>Accounting</t>
  </si>
  <si>
    <t>Consulting</t>
  </si>
  <si>
    <t>Postage &amp; Delivery</t>
  </si>
  <si>
    <t>Travel &amp; Entertainment</t>
  </si>
  <si>
    <t>Rent</t>
  </si>
  <si>
    <t>Property Tax</t>
  </si>
  <si>
    <t>Liability Insurance</t>
  </si>
  <si>
    <t>Depreciation</t>
  </si>
  <si>
    <t>Utilities</t>
  </si>
  <si>
    <t>Net Operating Profit</t>
  </si>
  <si>
    <t>Shop Equipment</t>
  </si>
  <si>
    <t>Materials &amp; Supplies</t>
  </si>
  <si>
    <t>Equipment Rental</t>
  </si>
  <si>
    <t>Regular Pay</t>
  </si>
  <si>
    <t>Overtime Pay</t>
  </si>
  <si>
    <t>Direct Bonus</t>
  </si>
  <si>
    <t>Life Insurance</t>
  </si>
  <si>
    <t>Income</t>
  </si>
  <si>
    <t>Total Budget</t>
  </si>
  <si>
    <t>Variable Expenses</t>
  </si>
  <si>
    <t>Payroll Service</t>
  </si>
  <si>
    <t>Small Tools &amp; Sundries</t>
  </si>
  <si>
    <t>Other Income (Expense)</t>
  </si>
  <si>
    <t>Sub-Contract Labor</t>
  </si>
  <si>
    <t>Payroll Taxes - Direct</t>
  </si>
  <si>
    <t>Cellular Phone - Direct</t>
  </si>
  <si>
    <t>Uniforms</t>
  </si>
  <si>
    <t>Payroll Taxes - Admin</t>
  </si>
  <si>
    <t>Office Supplies</t>
  </si>
  <si>
    <t>Cellular Phone - Admin</t>
  </si>
  <si>
    <t>Group Health Ins - Direct</t>
  </si>
  <si>
    <t>Group Health Ins - Admin</t>
  </si>
  <si>
    <t>Interest Income</t>
  </si>
  <si>
    <t>Meetings and Conferences</t>
  </si>
  <si>
    <t xml:space="preserve">Total General &amp; Administrative </t>
  </si>
  <si>
    <t>Automobile Expenses - Admin</t>
  </si>
  <si>
    <t>Total Variable Expenses</t>
  </si>
  <si>
    <t>General &amp; Adminstrative Expenses</t>
  </si>
  <si>
    <t>Total Direct Costs</t>
  </si>
  <si>
    <t>Direct Costs (Cost of Sales)</t>
  </si>
  <si>
    <t>Truck Expenses</t>
  </si>
  <si>
    <t>Education &amp; Training</t>
  </si>
  <si>
    <t>Legal</t>
  </si>
  <si>
    <t>Hiring Costs</t>
  </si>
  <si>
    <t>Security</t>
  </si>
  <si>
    <t>Advertising/Marketing</t>
  </si>
  <si>
    <t>Hazardous Waste Disposal</t>
  </si>
  <si>
    <t>May</t>
  </si>
  <si>
    <t>Jun</t>
  </si>
  <si>
    <t>Total</t>
  </si>
  <si>
    <t xml:space="preserve"> </t>
  </si>
  <si>
    <t>Direct %</t>
  </si>
  <si>
    <t>Management</t>
  </si>
  <si>
    <t>Field</t>
  </si>
  <si>
    <t>Painter Name</t>
  </si>
  <si>
    <t>Payroll - Estimator</t>
  </si>
  <si>
    <t>Charitable Contributions</t>
  </si>
  <si>
    <t>Shop/Office Maintenance</t>
  </si>
  <si>
    <t>Payroll - Office Manager</t>
  </si>
  <si>
    <t>Payroll - Office Assistant</t>
  </si>
  <si>
    <t>Payroll - Production Manager</t>
  </si>
  <si>
    <t>Payroll - Owner</t>
  </si>
  <si>
    <t>Office Manager (salary)</t>
  </si>
  <si>
    <t>Estimator (salary)</t>
  </si>
  <si>
    <t>Labor Bid Rate</t>
  </si>
  <si>
    <t>Production Manager - Direct</t>
  </si>
  <si>
    <t>Workers Comp Rate - Field Employees</t>
  </si>
  <si>
    <t>Workers Comp Rate - Admin Employees</t>
  </si>
  <si>
    <t>Equipment Repairs &amp; Maintenance</t>
  </si>
  <si>
    <t>Monthly Gross Profit %</t>
  </si>
  <si>
    <t>Retirement Plan - Admin</t>
  </si>
  <si>
    <t>Retirement Plan - Field Employees</t>
  </si>
  <si>
    <t>Sales Commissions</t>
  </si>
  <si>
    <t>Other Income</t>
  </si>
  <si>
    <t>Monthly Net Operating Profit %</t>
  </si>
  <si>
    <t>Materials (Percentage of Revenue)</t>
  </si>
  <si>
    <t>Production Mgr (salary)</t>
  </si>
  <si>
    <t>Bonus - Admin</t>
  </si>
  <si>
    <t>Workers Comp - Direct</t>
  </si>
  <si>
    <t>Interest (Expense)</t>
  </si>
  <si>
    <t>Workers Comp - Admin</t>
  </si>
  <si>
    <t>Overhead Salaries</t>
  </si>
  <si>
    <t>Working Days</t>
  </si>
  <si>
    <t>Days to Subtract</t>
  </si>
  <si>
    <t>Monthly OT Hours</t>
  </si>
  <si>
    <t>Wage/Salary</t>
  </si>
  <si>
    <t>Personnel List</t>
  </si>
  <si>
    <t>Average Field Wage</t>
  </si>
  <si>
    <t>Potential Revenue</t>
  </si>
  <si>
    <t>Total Direct Hours per worker</t>
  </si>
  <si>
    <t>Number of Workers</t>
  </si>
  <si>
    <t>Total Available Hours</t>
  </si>
  <si>
    <t>Assumptions</t>
  </si>
  <si>
    <t>Carpentry</t>
  </si>
  <si>
    <t>Total Regular Hours Available</t>
  </si>
  <si>
    <t>Direct  Hours Percentage</t>
  </si>
  <si>
    <t>Paid Time Off (Holiday/Vacation)</t>
  </si>
  <si>
    <t>Average Hourly Wage</t>
  </si>
  <si>
    <t>Overtime Compensation</t>
  </si>
  <si>
    <t>Janitorial</t>
  </si>
  <si>
    <t>Telephone - Office</t>
  </si>
  <si>
    <t>Computer/Office Equipment Expense</t>
  </si>
  <si>
    <t>Owner Bonus (Expense)</t>
  </si>
  <si>
    <t>Other (Expense)</t>
  </si>
  <si>
    <t>Provision for Taxes (Expense)</t>
  </si>
  <si>
    <t xml:space="preserve">Net Profit </t>
  </si>
  <si>
    <t>Office Assistant (salary)</t>
  </si>
  <si>
    <t>Owner (salary)</t>
  </si>
  <si>
    <t>Owner 2 (salary)</t>
  </si>
  <si>
    <t>Field Wage Compensation</t>
  </si>
  <si>
    <t>Payroll Tax Rate</t>
  </si>
  <si>
    <t xml:space="preserve">Directions  </t>
  </si>
  <si>
    <t xml:space="preserve">Effective Total Bid Rate with Materials </t>
  </si>
  <si>
    <t>Mouse over each assumption for instructions.  ONLY make entries in Yellow Cells.  The rest are calculations. Save one version of this worksheet as a master in case you make mistakes. All numbers entered here carry to budget template</t>
  </si>
  <si>
    <t>Mouse over each cell with a red flag for instructions.  ONLY make entries in Yellow Cells.  The rest are calculations. Save one version of this worksheet as a master in case you make mistakes. All numbers entered here carry to either assumptions page or budget template</t>
  </si>
  <si>
    <t>% for each service</t>
  </si>
  <si>
    <t>Sample Company - type your company name here - directions in column R</t>
  </si>
  <si>
    <t xml:space="preserve">Mouse over each red flagged cell for instructions.  Gray Cells are calculations based on your entries in the Personnel and Assumptions worksheets.. Save one version of this worksheet as a master in case you make mistakes. Fill in white cells in rows that represent expenses your company usually has.  </t>
  </si>
  <si>
    <t>Materials Revenue</t>
  </si>
  <si>
    <t>Residential Painting</t>
  </si>
  <si>
    <t>Commercial Painting</t>
  </si>
  <si>
    <t>Wallpaper</t>
  </si>
  <si>
    <t>Decorative Painting</t>
  </si>
  <si>
    <t>Advisors On Target Budget Template</t>
  </si>
  <si>
    <t xml:space="preserve">This tool is only for use by the person who purchased it to use in their own company. </t>
  </si>
  <si>
    <t>The purchaser does not have rights to distribute this tool to anyone else.</t>
  </si>
  <si>
    <t>© Advisors On Target 2003-2011</t>
  </si>
  <si>
    <t>2012 Budget</t>
  </si>
  <si>
    <t>Materials Markup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</si>
</sst>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0.0%"/>
    <numFmt numFmtId="167" formatCode="0_);\(0\)"/>
    <numFmt numFmtId="168" formatCode="m/d/yy"/>
    <numFmt numFmtId="169" formatCode="0.00_);\(0.00\)"/>
    <numFmt numFmtId="170" formatCode="#,##0.00;\-#,##0.00"/>
    <numFmt numFmtId="171" formatCode="#,##0.0#%;\-#,##0.0#%"/>
    <numFmt numFmtId="172" formatCode="_(* #,##0.000_);_(* \(#,##0.000\);_(* &quot;-&quot;??_);_(@_)"/>
    <numFmt numFmtId="173" formatCode="_(* #,##0.0_);_(* \(#,##0.0\);_(* &quot;-&quot;??_);_(@_)"/>
    <numFmt numFmtId="174" formatCode="_(* #,##0_);_(* \(#,##0\);_(* &quot;-&quot;??_);_(@_)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.0000_);[Red]\(#,##0.0000\)"/>
    <numFmt numFmtId="185" formatCode="&quot;$&quot;#,##0.00;[Red]&quot;$&quot;#,##0.00"/>
    <numFmt numFmtId="186" formatCode="&quot;$&quot;#,##0;[Red]&quot;$&quot;#,##0"/>
    <numFmt numFmtId="187" formatCode="&quot;$&quot;#,##0.0"/>
    <numFmt numFmtId="188" formatCode="[$-409]dddd\,\ mmmm\ dd\,\ yyyy"/>
    <numFmt numFmtId="189" formatCode="[$-409]mmm\-yy;@"/>
    <numFmt numFmtId="190" formatCode="mm/dd/yy_)"/>
    <numFmt numFmtId="191" formatCode="hh:mm\ AM/PM_)"/>
    <numFmt numFmtId="192" formatCode="0_)"/>
    <numFmt numFmtId="193" formatCode="0.0000_)"/>
    <numFmt numFmtId="194" formatCode="0.000000_)"/>
    <numFmt numFmtId="195" formatCode="#,##0.0_);\(#,##0.0\)"/>
    <numFmt numFmtId="196" formatCode="#,##0.000000_);\(#,##0.000000\)"/>
    <numFmt numFmtId="197" formatCode="0;0;;@"/>
    <numFmt numFmtId="198" formatCode="0;"/>
    <numFmt numFmtId="199" formatCode="0;0"/>
    <numFmt numFmtId="200" formatCode="0;@"/>
    <numFmt numFmtId="201" formatCode="0\:"/>
    <numFmt numFmtId="202" formatCode="m/d/yy;@"/>
    <numFmt numFmtId="203" formatCode="&quot;$&quot;#,##0.0_);\(&quot;$&quot;#,##0.0\)"/>
    <numFmt numFmtId="204" formatCode="[$€-2]\ #,##0.00_);[Red]\([$€-2]\ #,##0.00\)"/>
    <numFmt numFmtId="205" formatCode="&quot;$&quot;#,##0.0_);[Red]\(&quot;$&quot;#,##0.0\)"/>
    <numFmt numFmtId="206" formatCode="_(* #,##0.0000_);_(* \(#,##0.0000\);_(* &quot;-&quot;??_);_(@_)"/>
    <numFmt numFmtId="207" formatCode="_(* #,##0.00000_);_(* \(#,##0.00000\);_(* &quot;-&quot;??_);_(@_)"/>
    <numFmt numFmtId="208" formatCode="_(* #,##0.000000_);_(* \(#,##0.000000\);_(* &quot;-&quot;??_);_(@_)"/>
    <numFmt numFmtId="209" formatCode="_(* #,##0.0000000_);_(* \(#,##0.0000000\);_(* &quot;-&quot;??_);_(@_)"/>
    <numFmt numFmtId="210" formatCode="_(&quot;$&quot;* #,##0.000_);_(&quot;$&quot;* \(#,##0.000\);_(&quot;$&quot;* &quot;-&quot;??_);_(@_)"/>
    <numFmt numFmtId="211" formatCode="_(&quot;$&quot;* #,##0.0000_);_(&quot;$&quot;* \(#,##0.0000\);_(&quot;$&quot;* &quot;-&quot;??_);_(@_)"/>
    <numFmt numFmtId="212" formatCode="_(&quot;$&quot;* #,##0.0_);_(&quot;$&quot;* \(#,##0.0\);_(&quot;$&quot;* &quot;-&quot;??_);_(@_)"/>
    <numFmt numFmtId="213" formatCode="_(&quot;$&quot;* #,##0_);_(&quot;$&quot;* \(#,##0\);_(&quot;$&quot;* &quot;-&quot;??_);_(@_)"/>
    <numFmt numFmtId="214" formatCode="[$-F800]dddd\,\ mmmm\ dd\,\ yyyy"/>
    <numFmt numFmtId="215" formatCode="&quot;$&quot;#,##0.000_);\(&quot;$&quot;#,##0.000\)"/>
    <numFmt numFmtId="216" formatCode="&quot;$&quot;#,##0.000"/>
  </numFmts>
  <fonts count="2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8"/>
      <name val="Arial"/>
      <family val="2"/>
    </font>
    <font>
      <u val="doubleAccounting"/>
      <sz val="10"/>
      <name val="Arial"/>
      <family val="2"/>
    </font>
    <font>
      <sz val="10"/>
      <color indexed="12"/>
      <name val="Arial"/>
      <family val="2"/>
    </font>
    <font>
      <b/>
      <i/>
      <sz val="9"/>
      <color indexed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b/>
      <i/>
      <sz val="9"/>
      <color indexed="60"/>
      <name val="Arial"/>
      <family val="2"/>
    </font>
    <font>
      <sz val="8"/>
      <name val="Arial"/>
      <family val="2"/>
    </font>
    <font>
      <b/>
      <i/>
      <sz val="12"/>
      <color indexed="8"/>
      <name val="Arial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sz val="10"/>
      <name val="Courier"/>
      <family val="0"/>
    </font>
    <font>
      <sz val="8"/>
      <name val="Tahoma"/>
      <family val="0"/>
    </font>
    <font>
      <sz val="10"/>
      <color indexed="22"/>
      <name val="Arial"/>
      <family val="2"/>
    </font>
    <font>
      <b/>
      <sz val="8"/>
      <name val="Tahoma"/>
      <family val="0"/>
    </font>
    <font>
      <b/>
      <sz val="10"/>
      <color indexed="18"/>
      <name val="Arial"/>
      <family val="2"/>
    </font>
    <font>
      <b/>
      <sz val="18"/>
      <color indexed="18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7" fontId="15" fillId="0" borderId="0">
      <alignment/>
      <protection/>
    </xf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ont="1" applyAlignment="1">
      <alignment/>
    </xf>
    <xf numFmtId="37" fontId="6" fillId="0" borderId="0" xfId="0" applyNumberFormat="1" applyFont="1" applyBorder="1" applyAlignment="1">
      <alignment/>
    </xf>
    <xf numFmtId="37" fontId="0" fillId="0" borderId="0" xfId="0" applyNumberForma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166" fontId="10" fillId="0" borderId="1" xfId="0" applyNumberFormat="1" applyFont="1" applyBorder="1" applyAlignment="1">
      <alignment horizontal="center"/>
    </xf>
    <xf numFmtId="37" fontId="1" fillId="0" borderId="2" xfId="0" applyNumberFormat="1" applyFont="1" applyFill="1" applyBorder="1" applyAlignment="1">
      <alignment/>
    </xf>
    <xf numFmtId="37" fontId="1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37" fontId="1" fillId="0" borderId="3" xfId="0" applyNumberFormat="1" applyFont="1" applyFill="1" applyBorder="1" applyAlignment="1">
      <alignment/>
    </xf>
    <xf numFmtId="37" fontId="0" fillId="0" borderId="0" xfId="0" applyNumberFormat="1" applyFont="1" applyAlignment="1">
      <alignment/>
    </xf>
    <xf numFmtId="37" fontId="0" fillId="0" borderId="0" xfId="0" applyNumberFormat="1" applyFont="1" applyBorder="1" applyAlignment="1">
      <alignment/>
    </xf>
    <xf numFmtId="166" fontId="0" fillId="0" borderId="0" xfId="0" applyNumberFormat="1" applyFont="1" applyAlignment="1">
      <alignment/>
    </xf>
    <xf numFmtId="37" fontId="0" fillId="0" borderId="1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37" fontId="0" fillId="0" borderId="0" xfId="0" applyNumberFormat="1" applyFont="1" applyFill="1" applyAlignment="1">
      <alignment/>
    </xf>
    <xf numFmtId="37" fontId="0" fillId="0" borderId="0" xfId="0" applyNumberFormat="1" applyFont="1" applyFill="1" applyBorder="1" applyAlignment="1">
      <alignment/>
    </xf>
    <xf numFmtId="37" fontId="0" fillId="0" borderId="1" xfId="0" applyNumberFormat="1" applyFont="1" applyFill="1" applyBorder="1" applyAlignment="1">
      <alignment/>
    </xf>
    <xf numFmtId="37" fontId="1" fillId="0" borderId="3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37" fontId="5" fillId="0" borderId="0" xfId="0" applyNumberFormat="1" applyFont="1" applyFill="1" applyAlignment="1">
      <alignment/>
    </xf>
    <xf numFmtId="37" fontId="0" fillId="0" borderId="0" xfId="0" applyNumberFormat="1" applyFont="1" applyFill="1" applyAlignment="1">
      <alignment/>
    </xf>
    <xf numFmtId="37" fontId="1" fillId="0" borderId="3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9" fillId="0" borderId="0" xfId="0" applyFont="1" applyAlignment="1">
      <alignment/>
    </xf>
    <xf numFmtId="0" fontId="13" fillId="0" borderId="0" xfId="0" applyFont="1" applyFill="1" applyAlignment="1">
      <alignment horizontal="center" vertical="center" wrapText="1"/>
    </xf>
    <xf numFmtId="0" fontId="12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1" fillId="2" borderId="0" xfId="0" applyFont="1" applyFill="1" applyAlignment="1">
      <alignment/>
    </xf>
    <xf numFmtId="0" fontId="13" fillId="3" borderId="0" xfId="0" applyFont="1" applyFill="1" applyAlignment="1">
      <alignment horizontal="left"/>
    </xf>
    <xf numFmtId="0" fontId="13" fillId="3" borderId="0" xfId="0" applyFont="1" applyFill="1" applyAlignment="1">
      <alignment/>
    </xf>
    <xf numFmtId="0" fontId="9" fillId="3" borderId="0" xfId="0" applyFont="1" applyFill="1" applyAlignment="1">
      <alignment/>
    </xf>
    <xf numFmtId="0" fontId="4" fillId="2" borderId="0" xfId="0" applyFont="1" applyFill="1" applyAlignment="1">
      <alignment vertical="center" wrapText="1"/>
    </xf>
    <xf numFmtId="37" fontId="0" fillId="0" borderId="0" xfId="21" applyNumberFormat="1" applyFont="1" applyAlignment="1" applyProtection="1">
      <alignment horizontal="center"/>
      <protection/>
    </xf>
    <xf numFmtId="37" fontId="15" fillId="0" borderId="0" xfId="21">
      <alignment/>
      <protection/>
    </xf>
    <xf numFmtId="37" fontId="0" fillId="0" borderId="0" xfId="21" applyNumberFormat="1" applyFont="1" applyAlignment="1" applyProtection="1">
      <alignment horizontal="left"/>
      <protection/>
    </xf>
    <xf numFmtId="37" fontId="0" fillId="0" borderId="0" xfId="21" applyFont="1">
      <alignment/>
      <protection/>
    </xf>
    <xf numFmtId="202" fontId="0" fillId="0" borderId="0" xfId="21" applyNumberFormat="1" applyFont="1" applyFill="1" applyAlignment="1" applyProtection="1" quotePrefix="1">
      <alignment horizontal="center"/>
      <protection/>
    </xf>
    <xf numFmtId="193" fontId="0" fillId="0" borderId="0" xfId="21" applyNumberFormat="1" applyFont="1" applyProtection="1">
      <alignment/>
      <protection/>
    </xf>
    <xf numFmtId="37" fontId="0" fillId="4" borderId="0" xfId="21" applyNumberFormat="1" applyFont="1" applyFill="1" applyAlignment="1" applyProtection="1">
      <alignment horizontal="left"/>
      <protection/>
    </xf>
    <xf numFmtId="164" fontId="0" fillId="4" borderId="0" xfId="21" applyNumberFormat="1" applyFont="1" applyFill="1" applyProtection="1">
      <alignment/>
      <protection/>
    </xf>
    <xf numFmtId="9" fontId="0" fillId="0" borderId="0" xfId="21" applyNumberFormat="1" applyFont="1" applyProtection="1">
      <alignment/>
      <protection/>
    </xf>
    <xf numFmtId="5" fontId="0" fillId="0" borderId="0" xfId="21" applyNumberFormat="1" applyFont="1">
      <alignment/>
      <protection/>
    </xf>
    <xf numFmtId="37" fontId="0" fillId="0" borderId="0" xfId="21" applyNumberFormat="1" applyFont="1" applyFill="1" applyAlignment="1" applyProtection="1">
      <alignment horizontal="center"/>
      <protection/>
    </xf>
    <xf numFmtId="164" fontId="0" fillId="0" borderId="0" xfId="21" applyNumberFormat="1" applyFont="1" applyProtection="1">
      <alignment/>
      <protection/>
    </xf>
    <xf numFmtId="166" fontId="0" fillId="0" borderId="0" xfId="21" applyNumberFormat="1" applyFont="1">
      <alignment/>
      <protection/>
    </xf>
    <xf numFmtId="164" fontId="0" fillId="0" borderId="0" xfId="21" applyNumberFormat="1" applyFont="1" applyFill="1" applyProtection="1">
      <alignment/>
      <protection/>
    </xf>
    <xf numFmtId="7" fontId="0" fillId="4" borderId="0" xfId="21" applyNumberFormat="1" applyFont="1" applyFill="1" applyAlignment="1" applyProtection="1">
      <alignment horizontal="left"/>
      <protection/>
    </xf>
    <xf numFmtId="37" fontId="0" fillId="5" borderId="0" xfId="0" applyNumberFormat="1" applyFont="1" applyFill="1" applyBorder="1" applyAlignment="1">
      <alignment/>
    </xf>
    <xf numFmtId="37" fontId="0" fillId="5" borderId="0" xfId="0" applyNumberFormat="1" applyFont="1" applyFill="1" applyAlignment="1">
      <alignment/>
    </xf>
    <xf numFmtId="3" fontId="7" fillId="2" borderId="0" xfId="0" applyNumberFormat="1" applyFont="1" applyFill="1" applyBorder="1" applyAlignment="1">
      <alignment horizontal="center"/>
    </xf>
    <xf numFmtId="1" fontId="0" fillId="0" borderId="0" xfId="21" applyNumberFormat="1" applyFont="1" applyAlignment="1" applyProtection="1">
      <alignment horizontal="left"/>
      <protection/>
    </xf>
    <xf numFmtId="0" fontId="0" fillId="0" borderId="0" xfId="0" applyAlignment="1">
      <alignment vertical="top" wrapText="1"/>
    </xf>
    <xf numFmtId="37" fontId="11" fillId="0" borderId="0" xfId="21" applyFont="1" applyFill="1" applyAlignment="1">
      <alignment horizontal="left"/>
      <protection/>
    </xf>
    <xf numFmtId="10" fontId="0" fillId="4" borderId="0" xfId="0" applyNumberFormat="1" applyFill="1" applyAlignment="1">
      <alignment vertical="top" wrapText="1"/>
    </xf>
    <xf numFmtId="0" fontId="17" fillId="0" borderId="0" xfId="0" applyFont="1" applyAlignment="1">
      <alignment/>
    </xf>
    <xf numFmtId="166" fontId="17" fillId="0" borderId="0" xfId="0" applyNumberFormat="1" applyFont="1" applyAlignment="1">
      <alignment/>
    </xf>
    <xf numFmtId="37" fontId="4" fillId="0" borderId="3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/>
    </xf>
    <xf numFmtId="5" fontId="0" fillId="4" borderId="0" xfId="21" applyNumberFormat="1" applyFont="1" applyFill="1" applyProtection="1">
      <alignment/>
      <protection/>
    </xf>
    <xf numFmtId="166" fontId="0" fillId="4" borderId="0" xfId="0" applyNumberFormat="1" applyFill="1" applyAlignment="1">
      <alignment vertical="top" wrapText="1"/>
    </xf>
    <xf numFmtId="37" fontId="14" fillId="2" borderId="0" xfId="0" applyNumberFormat="1" applyFont="1" applyFill="1" applyBorder="1" applyAlignment="1">
      <alignment/>
    </xf>
    <xf numFmtId="37" fontId="0" fillId="0" borderId="4" xfId="0" applyNumberFormat="1" applyFont="1" applyFill="1" applyBorder="1" applyAlignment="1">
      <alignment/>
    </xf>
    <xf numFmtId="37" fontId="0" fillId="6" borderId="0" xfId="21" applyNumberFormat="1" applyFont="1" applyFill="1" applyAlignment="1" applyProtection="1">
      <alignment horizontal="center"/>
      <protection/>
    </xf>
    <xf numFmtId="9" fontId="0" fillId="4" borderId="0" xfId="21" applyNumberFormat="1" applyFont="1" applyFill="1">
      <alignment/>
      <protection/>
    </xf>
    <xf numFmtId="37" fontId="0" fillId="0" borderId="0" xfId="21" applyFont="1" applyAlignment="1" quotePrefix="1">
      <alignment horizontal="left"/>
      <protection/>
    </xf>
    <xf numFmtId="0" fontId="0" fillId="0" borderId="0" xfId="0" applyAlignment="1" quotePrefix="1">
      <alignment vertical="top" wrapText="1"/>
    </xf>
    <xf numFmtId="37" fontId="1" fillId="0" borderId="0" xfId="21" applyFont="1" applyAlignment="1">
      <alignment horizontal="center"/>
      <protection/>
    </xf>
    <xf numFmtId="0" fontId="0" fillId="0" borderId="0" xfId="0" applyFont="1" applyAlignment="1" quotePrefix="1">
      <alignment horizontal="left"/>
    </xf>
    <xf numFmtId="37" fontId="0" fillId="4" borderId="0" xfId="21" applyFont="1" applyFill="1">
      <alignment/>
      <protection/>
    </xf>
    <xf numFmtId="195" fontId="0" fillId="0" borderId="0" xfId="21" applyNumberFormat="1" applyFont="1">
      <alignment/>
      <protection/>
    </xf>
    <xf numFmtId="37" fontId="0" fillId="0" borderId="0" xfId="0" applyNumberFormat="1" applyFont="1" applyFill="1" applyAlignment="1" quotePrefix="1">
      <alignment horizontal="left"/>
    </xf>
    <xf numFmtId="0" fontId="1" fillId="2" borderId="0" xfId="0" applyFont="1" applyFill="1" applyAlignment="1" quotePrefix="1">
      <alignment horizontal="left"/>
    </xf>
    <xf numFmtId="37" fontId="0" fillId="4" borderId="0" xfId="21" applyNumberFormat="1" applyFont="1" applyFill="1" applyAlignment="1" applyProtection="1" quotePrefix="1">
      <alignment horizontal="left"/>
      <protection/>
    </xf>
    <xf numFmtId="165" fontId="0" fillId="4" borderId="0" xfId="21" applyNumberFormat="1" applyFont="1" applyFill="1" applyProtection="1">
      <alignment/>
      <protection/>
    </xf>
    <xf numFmtId="7" fontId="0" fillId="0" borderId="0" xfId="21" applyNumberFormat="1" applyFont="1" applyFill="1" applyAlignment="1" applyProtection="1">
      <alignment horizontal="left"/>
      <protection/>
    </xf>
    <xf numFmtId="165" fontId="0" fillId="0" borderId="3" xfId="21" applyNumberFormat="1" applyFont="1" applyBorder="1">
      <alignment/>
      <protection/>
    </xf>
    <xf numFmtId="7" fontId="0" fillId="0" borderId="5" xfId="21" applyNumberFormat="1" applyFont="1" applyFill="1" applyBorder="1">
      <alignment/>
      <protection/>
    </xf>
    <xf numFmtId="0" fontId="1" fillId="7" borderId="0" xfId="0" applyFont="1" applyFill="1" applyAlignment="1">
      <alignment/>
    </xf>
    <xf numFmtId="0" fontId="0" fillId="7" borderId="0" xfId="0" applyFill="1" applyAlignment="1">
      <alignment/>
    </xf>
    <xf numFmtId="37" fontId="1" fillId="0" borderId="0" xfId="21" applyFont="1">
      <alignment/>
      <protection/>
    </xf>
    <xf numFmtId="0" fontId="1" fillId="0" borderId="0" xfId="21" applyNumberFormat="1" applyFont="1" applyAlignment="1" applyProtection="1" quotePrefix="1">
      <alignment horizontal="center"/>
      <protection/>
    </xf>
    <xf numFmtId="0" fontId="10" fillId="0" borderId="0" xfId="0" applyFont="1" applyFill="1" applyBorder="1" applyAlignment="1">
      <alignment horizontal="left"/>
    </xf>
    <xf numFmtId="9" fontId="0" fillId="4" borderId="0" xfId="0" applyNumberFormat="1" applyFill="1" applyAlignment="1">
      <alignment/>
    </xf>
    <xf numFmtId="37" fontId="0" fillId="5" borderId="0" xfId="0" applyNumberFormat="1" applyFill="1" applyAlignment="1">
      <alignment/>
    </xf>
    <xf numFmtId="37" fontId="0" fillId="8" borderId="0" xfId="21" applyFont="1" applyFill="1">
      <alignment/>
      <protection/>
    </xf>
    <xf numFmtId="37" fontId="0" fillId="8" borderId="0" xfId="21" applyNumberFormat="1" applyFont="1" applyFill="1" applyAlignment="1" applyProtection="1">
      <alignment horizontal="center" wrapText="1"/>
      <protection/>
    </xf>
    <xf numFmtId="37" fontId="8" fillId="8" borderId="0" xfId="21" applyFont="1" applyFill="1" applyAlignment="1">
      <alignment horizontal="center" wrapText="1"/>
      <protection/>
    </xf>
    <xf numFmtId="37" fontId="15" fillId="8" borderId="0" xfId="21" applyFill="1">
      <alignment/>
      <protection/>
    </xf>
    <xf numFmtId="37" fontId="8" fillId="8" borderId="0" xfId="21" applyFont="1" applyFill="1" applyAlignment="1">
      <alignment vertical="top" wrapText="1"/>
      <protection/>
    </xf>
    <xf numFmtId="37" fontId="0" fillId="0" borderId="0" xfId="21" applyFont="1" applyFill="1" applyAlignment="1">
      <alignment horizontal="left"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2" fillId="2" borderId="0" xfId="0" applyFont="1" applyFill="1" applyBorder="1" applyAlignment="1" quotePrefix="1">
      <alignment horizontal="center"/>
    </xf>
    <xf numFmtId="0" fontId="12" fillId="2" borderId="0" xfId="0" applyFont="1" applyFill="1" applyBorder="1" applyAlignment="1">
      <alignment horizontal="center"/>
    </xf>
    <xf numFmtId="0" fontId="0" fillId="7" borderId="0" xfId="0" applyFill="1" applyAlignment="1" quotePrefix="1">
      <alignment horizontal="left" vertical="top" wrapText="1"/>
    </xf>
    <xf numFmtId="37" fontId="0" fillId="9" borderId="0" xfId="21" applyNumberFormat="1" applyFont="1" applyFill="1" applyAlignment="1" applyProtection="1">
      <alignment horizontal="center"/>
      <protection/>
    </xf>
    <xf numFmtId="37" fontId="0" fillId="6" borderId="0" xfId="21" applyNumberFormat="1" applyFont="1" applyFill="1" applyAlignment="1" applyProtection="1">
      <alignment horizontal="center"/>
      <protection/>
    </xf>
    <xf numFmtId="10" fontId="0" fillId="0" borderId="0" xfId="0" applyNumberFormat="1" applyAlignment="1">
      <alignment/>
    </xf>
    <xf numFmtId="10" fontId="0" fillId="0" borderId="5" xfId="21" applyNumberFormat="1" applyFont="1" applyFill="1" applyBorder="1" applyAlignment="1" applyProtection="1" quotePrefix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rooks.Compensation.Hours.2005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HP_Administrator\Local%20Settings\Temporary%20Internet%20Files\OLK118\WINDOWS\Temporary%20Internet%20Files\Content.IE5\CBUBIHZ0\Peek%20Brothers%20KP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2 KPI Monitoring"/>
      <sheetName val="2001 KPI Monitoring"/>
      <sheetName val="2003 YTD"/>
      <sheetName val="2003 Budget"/>
      <sheetName val="Monthly Budget Comparison"/>
      <sheetName val="New KPI Monitoring"/>
      <sheetName val="2003 Q1 Cost Allocation"/>
      <sheetName val="Account Descriptions"/>
      <sheetName val="Balance Sheet Template"/>
      <sheetName val="KPI 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5"/>
  <sheetViews>
    <sheetView workbookViewId="0" topLeftCell="A1">
      <selection activeCell="E9" sqref="E9"/>
    </sheetView>
  </sheetViews>
  <sheetFormatPr defaultColWidth="9.140625" defaultRowHeight="12.75"/>
  <sheetData>
    <row r="2" spans="2:5" ht="23.25">
      <c r="B2" s="104" t="s">
        <v>144</v>
      </c>
      <c r="C2" s="103"/>
      <c r="D2" s="103"/>
      <c r="E2" s="103"/>
    </row>
    <row r="3" ht="12.75">
      <c r="B3" t="s">
        <v>147</v>
      </c>
    </row>
    <row r="4" ht="12.75">
      <c r="B4" t="s">
        <v>145</v>
      </c>
    </row>
    <row r="5" ht="12.75">
      <c r="B5" t="s">
        <v>146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BF119"/>
  <sheetViews>
    <sheetView tabSelected="1" workbookViewId="0" topLeftCell="A1">
      <pane xSplit="1" ySplit="4" topLeftCell="B5" activePane="bottomRight" state="frozen"/>
      <selection pane="topLeft" activeCell="C30" sqref="C30"/>
      <selection pane="topRight" activeCell="C30" sqref="C30"/>
      <selection pane="bottomLeft" activeCell="C30" sqref="C30"/>
      <selection pane="bottomRight" activeCell="D29" sqref="D29"/>
    </sheetView>
  </sheetViews>
  <sheetFormatPr defaultColWidth="9.140625" defaultRowHeight="12.75"/>
  <cols>
    <col min="1" max="1" width="30.7109375" style="0" bestFit="1" customWidth="1"/>
    <col min="2" max="2" width="10.140625" style="0" bestFit="1" customWidth="1"/>
    <col min="3" max="12" width="8.7109375" style="0" customWidth="1"/>
    <col min="13" max="13" width="9.7109375" style="0" bestFit="1" customWidth="1"/>
    <col min="14" max="14" width="2.28125" style="0" customWidth="1"/>
    <col min="15" max="15" width="14.421875" style="0" bestFit="1" customWidth="1"/>
    <col min="16" max="16" width="8.140625" style="0" bestFit="1" customWidth="1"/>
    <col min="17" max="17" width="7.8515625" style="0" customWidth="1"/>
  </cols>
  <sheetData>
    <row r="1" spans="1:16" ht="15">
      <c r="A1" s="105" t="s">
        <v>137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</row>
    <row r="2" spans="1:16" ht="15">
      <c r="A2" s="106" t="s">
        <v>148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3" spans="1:16" ht="15">
      <c r="A3" s="37"/>
      <c r="B3" s="62">
        <f>+Assumptions!C16</f>
        <v>60728.97196261682</v>
      </c>
      <c r="C3" s="62">
        <f>+Assumptions!D16</f>
        <v>60728.97196261682</v>
      </c>
      <c r="D3" s="62">
        <f>+Assumptions!E16</f>
        <v>63925.233644859814</v>
      </c>
      <c r="E3" s="62">
        <f>+Assumptions!F16</f>
        <v>79906.54205607477</v>
      </c>
      <c r="F3" s="62">
        <f>+Assumptions!G16</f>
        <v>100682.2429906542</v>
      </c>
      <c r="G3" s="62">
        <f>+Assumptions!H16</f>
        <v>110370.91121495327</v>
      </c>
      <c r="H3" s="62">
        <f>+Assumptions!I16</f>
        <v>110370.91121495327</v>
      </c>
      <c r="I3" s="62">
        <f>+Assumptions!J16</f>
        <v>120758.76168224298</v>
      </c>
      <c r="J3" s="62">
        <f>+Assumptions!K16</f>
        <v>93490.65420560747</v>
      </c>
      <c r="K3" s="62">
        <f>+Assumptions!L16</f>
        <v>105476.6355140187</v>
      </c>
      <c r="L3" s="62">
        <f>+Assumptions!M16</f>
        <v>63925.233644859814</v>
      </c>
      <c r="M3" s="62">
        <f>+Assumptions!N16</f>
        <v>51140.18691588785</v>
      </c>
      <c r="N3" s="38"/>
      <c r="O3" s="73">
        <f>+SUM(B3:M3)</f>
        <v>1021505.2570093459</v>
      </c>
      <c r="P3" s="38"/>
    </row>
    <row r="4" spans="1:17" ht="12.75">
      <c r="A4" s="5" t="s">
        <v>38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68</v>
      </c>
      <c r="G4" s="6" t="s">
        <v>69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9</v>
      </c>
      <c r="M4" s="6" t="s">
        <v>0</v>
      </c>
      <c r="N4" s="7"/>
      <c r="O4" s="8" t="s">
        <v>39</v>
      </c>
      <c r="P4" s="9" t="s">
        <v>11</v>
      </c>
      <c r="Q4" s="94" t="s">
        <v>136</v>
      </c>
    </row>
    <row r="5" spans="1:20" ht="12.75">
      <c r="A5" s="33" t="s">
        <v>140</v>
      </c>
      <c r="B5" s="61">
        <f>B3*$Q$5</f>
        <v>42510.280373831774</v>
      </c>
      <c r="C5" s="61">
        <f aca="true" t="shared" si="0" ref="C5:M5">C3*$Q$5</f>
        <v>42510.280373831774</v>
      </c>
      <c r="D5" s="61">
        <f t="shared" si="0"/>
        <v>44747.66355140187</v>
      </c>
      <c r="E5" s="61">
        <f t="shared" si="0"/>
        <v>55934.57943925234</v>
      </c>
      <c r="F5" s="61">
        <f t="shared" si="0"/>
        <v>70477.57009345794</v>
      </c>
      <c r="G5" s="61">
        <f t="shared" si="0"/>
        <v>77259.63785046729</v>
      </c>
      <c r="H5" s="61">
        <f t="shared" si="0"/>
        <v>77259.63785046729</v>
      </c>
      <c r="I5" s="61">
        <f t="shared" si="0"/>
        <v>84531.13317757008</v>
      </c>
      <c r="J5" s="61">
        <f t="shared" si="0"/>
        <v>65443.45794392523</v>
      </c>
      <c r="K5" s="61">
        <f t="shared" si="0"/>
        <v>73833.64485981308</v>
      </c>
      <c r="L5" s="61">
        <f t="shared" si="0"/>
        <v>44747.66355140187</v>
      </c>
      <c r="M5" s="61">
        <f t="shared" si="0"/>
        <v>35798.13084112149</v>
      </c>
      <c r="N5" s="16"/>
      <c r="O5" s="21">
        <f>+SUM(B5:M5)</f>
        <v>715053.679906542</v>
      </c>
      <c r="P5" s="17">
        <f aca="true" t="shared" si="1" ref="P5:P10">O5/$O$10</f>
        <v>0.7000000000000001</v>
      </c>
      <c r="Q5" s="95">
        <v>0.7</v>
      </c>
      <c r="R5" s="90" t="s">
        <v>132</v>
      </c>
      <c r="S5" s="91"/>
      <c r="T5" s="91"/>
    </row>
    <row r="6" spans="1:20" ht="12.75" customHeight="1">
      <c r="A6" s="33" t="s">
        <v>141</v>
      </c>
      <c r="B6" s="61">
        <f>B3*$Q$6</f>
        <v>9109.345794392522</v>
      </c>
      <c r="C6" s="61">
        <f aca="true" t="shared" si="2" ref="C6:M6">C3*$Q$6</f>
        <v>9109.345794392522</v>
      </c>
      <c r="D6" s="61">
        <f t="shared" si="2"/>
        <v>9588.785046728972</v>
      </c>
      <c r="E6" s="61">
        <f t="shared" si="2"/>
        <v>11985.981308411216</v>
      </c>
      <c r="F6" s="61">
        <f t="shared" si="2"/>
        <v>15102.33644859813</v>
      </c>
      <c r="G6" s="61">
        <f t="shared" si="2"/>
        <v>16555.63668224299</v>
      </c>
      <c r="H6" s="61">
        <f t="shared" si="2"/>
        <v>16555.63668224299</v>
      </c>
      <c r="I6" s="61">
        <f t="shared" si="2"/>
        <v>18113.814252336448</v>
      </c>
      <c r="J6" s="61">
        <f t="shared" si="2"/>
        <v>14023.59813084112</v>
      </c>
      <c r="K6" s="61">
        <f t="shared" si="2"/>
        <v>15821.495327102803</v>
      </c>
      <c r="L6" s="61">
        <f t="shared" si="2"/>
        <v>9588.785046728972</v>
      </c>
      <c r="M6" s="61">
        <f t="shared" si="2"/>
        <v>7671.0280373831765</v>
      </c>
      <c r="N6" s="16"/>
      <c r="O6" s="21">
        <f>+SUM(B6:M6)</f>
        <v>153225.78855140184</v>
      </c>
      <c r="P6" s="17">
        <f t="shared" si="1"/>
        <v>0.15</v>
      </c>
      <c r="Q6" s="95">
        <v>0.15</v>
      </c>
      <c r="R6" s="107" t="s">
        <v>138</v>
      </c>
      <c r="S6" s="107"/>
      <c r="T6" s="107"/>
    </row>
    <row r="7" spans="1:20" ht="12.75">
      <c r="A7" s="33" t="s">
        <v>114</v>
      </c>
      <c r="B7" s="96">
        <f>B3*$Q$7</f>
        <v>6072.897196261682</v>
      </c>
      <c r="C7" s="96">
        <f aca="true" t="shared" si="3" ref="C7:M7">C3*$Q$7</f>
        <v>6072.897196261682</v>
      </c>
      <c r="D7" s="96">
        <f t="shared" si="3"/>
        <v>6392.523364485982</v>
      </c>
      <c r="E7" s="96">
        <f t="shared" si="3"/>
        <v>7990.654205607478</v>
      </c>
      <c r="F7" s="96">
        <f t="shared" si="3"/>
        <v>10068.22429906542</v>
      </c>
      <c r="G7" s="96">
        <f t="shared" si="3"/>
        <v>11037.091121495328</v>
      </c>
      <c r="H7" s="96">
        <f t="shared" si="3"/>
        <v>11037.091121495328</v>
      </c>
      <c r="I7" s="96">
        <f t="shared" si="3"/>
        <v>12075.876168224298</v>
      </c>
      <c r="J7" s="96">
        <f t="shared" si="3"/>
        <v>9349.065420560748</v>
      </c>
      <c r="K7" s="96">
        <f t="shared" si="3"/>
        <v>10547.66355140187</v>
      </c>
      <c r="L7" s="96">
        <f t="shared" si="3"/>
        <v>6392.523364485982</v>
      </c>
      <c r="M7" s="96">
        <f t="shared" si="3"/>
        <v>5114.018691588785</v>
      </c>
      <c r="N7" s="16"/>
      <c r="O7" s="21">
        <f>+SUM(B7:M7)</f>
        <v>102150.52570093458</v>
      </c>
      <c r="P7" s="17">
        <f t="shared" si="1"/>
        <v>0.10000000000000002</v>
      </c>
      <c r="Q7" s="95">
        <v>0.1</v>
      </c>
      <c r="R7" s="107"/>
      <c r="S7" s="107"/>
      <c r="T7" s="107"/>
    </row>
    <row r="8" spans="1:20" ht="12.75">
      <c r="A8" s="33" t="s">
        <v>142</v>
      </c>
      <c r="B8" s="96">
        <f>B3*$Q$8</f>
        <v>0</v>
      </c>
      <c r="C8" s="96">
        <f aca="true" t="shared" si="4" ref="C8:M8">C3*$Q$8</f>
        <v>0</v>
      </c>
      <c r="D8" s="96">
        <f t="shared" si="4"/>
        <v>0</v>
      </c>
      <c r="E8" s="96">
        <f t="shared" si="4"/>
        <v>0</v>
      </c>
      <c r="F8" s="96">
        <f t="shared" si="4"/>
        <v>0</v>
      </c>
      <c r="G8" s="96">
        <f t="shared" si="4"/>
        <v>0</v>
      </c>
      <c r="H8" s="96">
        <f t="shared" si="4"/>
        <v>0</v>
      </c>
      <c r="I8" s="96">
        <f t="shared" si="4"/>
        <v>0</v>
      </c>
      <c r="J8" s="96">
        <f t="shared" si="4"/>
        <v>0</v>
      </c>
      <c r="K8" s="96">
        <f t="shared" si="4"/>
        <v>0</v>
      </c>
      <c r="L8" s="96">
        <f t="shared" si="4"/>
        <v>0</v>
      </c>
      <c r="M8" s="96">
        <f t="shared" si="4"/>
        <v>0</v>
      </c>
      <c r="N8" s="16"/>
      <c r="O8" s="21">
        <f>+SUM(B8:M8)</f>
        <v>0</v>
      </c>
      <c r="P8" s="17">
        <f t="shared" si="1"/>
        <v>0</v>
      </c>
      <c r="Q8" s="95">
        <v>0</v>
      </c>
      <c r="R8" s="107"/>
      <c r="S8" s="107"/>
      <c r="T8" s="107"/>
    </row>
    <row r="9" spans="1:20" ht="12.75">
      <c r="A9" s="33" t="s">
        <v>143</v>
      </c>
      <c r="B9" s="61">
        <f>B3*$Q$9</f>
        <v>3036.448598130841</v>
      </c>
      <c r="C9" s="61">
        <f aca="true" t="shared" si="5" ref="C9:M9">C3*$Q$9</f>
        <v>3036.448598130841</v>
      </c>
      <c r="D9" s="61">
        <f t="shared" si="5"/>
        <v>3196.261682242991</v>
      </c>
      <c r="E9" s="61">
        <f t="shared" si="5"/>
        <v>3995.327102803739</v>
      </c>
      <c r="F9" s="61">
        <f t="shared" si="5"/>
        <v>5034.11214953271</v>
      </c>
      <c r="G9" s="61">
        <f t="shared" si="5"/>
        <v>5518.545560747664</v>
      </c>
      <c r="H9" s="61">
        <f t="shared" si="5"/>
        <v>5518.545560747664</v>
      </c>
      <c r="I9" s="61">
        <f t="shared" si="5"/>
        <v>6037.938084112149</v>
      </c>
      <c r="J9" s="61">
        <f t="shared" si="5"/>
        <v>4674.532710280374</v>
      </c>
      <c r="K9" s="61">
        <f t="shared" si="5"/>
        <v>5273.831775700935</v>
      </c>
      <c r="L9" s="61">
        <f t="shared" si="5"/>
        <v>3196.261682242991</v>
      </c>
      <c r="M9" s="61">
        <f t="shared" si="5"/>
        <v>2557.0093457943926</v>
      </c>
      <c r="N9" s="16"/>
      <c r="O9" s="21">
        <f>+SUM(B9:M9)</f>
        <v>51075.26285046729</v>
      </c>
      <c r="P9" s="17">
        <f t="shared" si="1"/>
        <v>0.05000000000000001</v>
      </c>
      <c r="Q9" s="95">
        <v>0.05</v>
      </c>
      <c r="R9" s="107"/>
      <c r="S9" s="107"/>
      <c r="T9" s="107"/>
    </row>
    <row r="10" spans="1:20" ht="13.5" thickBot="1">
      <c r="A10" s="39" t="s">
        <v>12</v>
      </c>
      <c r="B10" s="23">
        <f>SUM(B5:B9)</f>
        <v>60728.97196261682</v>
      </c>
      <c r="C10" s="23">
        <f>SUM(C5:C9)</f>
        <v>60728.97196261682</v>
      </c>
      <c r="D10" s="23">
        <f>SUM(D5:D9)</f>
        <v>63925.233644859814</v>
      </c>
      <c r="E10" s="23">
        <f aca="true" t="shared" si="6" ref="E10:O10">SUM(E5:E9)</f>
        <v>79906.54205607477</v>
      </c>
      <c r="F10" s="23">
        <f t="shared" si="6"/>
        <v>100682.2429906542</v>
      </c>
      <c r="G10" s="23">
        <f t="shared" si="6"/>
        <v>110370.91121495327</v>
      </c>
      <c r="H10" s="23">
        <f t="shared" si="6"/>
        <v>110370.91121495327</v>
      </c>
      <c r="I10" s="23">
        <f t="shared" si="6"/>
        <v>120758.76168224298</v>
      </c>
      <c r="J10" s="23">
        <f t="shared" si="6"/>
        <v>93490.65420560745</v>
      </c>
      <c r="K10" s="23">
        <f t="shared" si="6"/>
        <v>105476.6355140187</v>
      </c>
      <c r="L10" s="23">
        <f t="shared" si="6"/>
        <v>63925.233644859814</v>
      </c>
      <c r="M10" s="23">
        <f t="shared" si="6"/>
        <v>51140.18691588785</v>
      </c>
      <c r="N10" s="11"/>
      <c r="O10" s="23">
        <f t="shared" si="6"/>
        <v>1021505.2570093456</v>
      </c>
      <c r="P10" s="19">
        <f t="shared" si="1"/>
        <v>1</v>
      </c>
      <c r="Q10" s="3"/>
      <c r="R10" s="107"/>
      <c r="S10" s="107"/>
      <c r="T10" s="107"/>
    </row>
    <row r="11" spans="2:20" ht="13.5" thickTop="1">
      <c r="B11" s="15"/>
      <c r="C11" s="15"/>
      <c r="D11" s="15"/>
      <c r="E11" s="15"/>
      <c r="F11" s="15"/>
      <c r="G11" s="15"/>
      <c r="H11" s="20"/>
      <c r="I11" s="15"/>
      <c r="J11" s="15"/>
      <c r="K11" s="15"/>
      <c r="L11" s="15"/>
      <c r="M11" s="15"/>
      <c r="N11" s="16"/>
      <c r="O11" s="15"/>
      <c r="P11" s="1"/>
      <c r="R11" s="107"/>
      <c r="S11" s="107"/>
      <c r="T11" s="107"/>
    </row>
    <row r="12" spans="1:20" ht="12.75">
      <c r="A12" s="34" t="s">
        <v>60</v>
      </c>
      <c r="B12" s="15"/>
      <c r="C12" s="15"/>
      <c r="D12" s="15"/>
      <c r="E12" s="15"/>
      <c r="F12" s="15"/>
      <c r="G12" s="15"/>
      <c r="H12" s="20"/>
      <c r="I12" s="15"/>
      <c r="J12" s="15"/>
      <c r="K12" s="15"/>
      <c r="L12" s="15"/>
      <c r="M12" s="15"/>
      <c r="N12" s="16"/>
      <c r="O12" s="15"/>
      <c r="P12" s="1"/>
      <c r="R12" s="107"/>
      <c r="S12" s="107"/>
      <c r="T12" s="107"/>
    </row>
    <row r="13" spans="1:20" ht="12.75">
      <c r="A13" s="1" t="s">
        <v>32</v>
      </c>
      <c r="B13" s="61">
        <f>B10*+Assumptions!$C$24</f>
        <v>7287.476635514018</v>
      </c>
      <c r="C13" s="61">
        <f>C10*+Assumptions!$C$24</f>
        <v>7287.476635514018</v>
      </c>
      <c r="D13" s="61">
        <f>D10*+Assumptions!$C$24</f>
        <v>7671.028037383177</v>
      </c>
      <c r="E13" s="61">
        <f>E10*+Assumptions!$C$24</f>
        <v>9588.785046728972</v>
      </c>
      <c r="F13" s="61">
        <f>F10*+Assumptions!$C$24</f>
        <v>12081.869158878502</v>
      </c>
      <c r="G13" s="61">
        <f>G10*+Assumptions!$C$24</f>
        <v>13244.509345794393</v>
      </c>
      <c r="H13" s="61">
        <f>H10*+Assumptions!$C$24</f>
        <v>13244.509345794393</v>
      </c>
      <c r="I13" s="61">
        <f>I10*+Assumptions!$C$24</f>
        <v>14491.051401869157</v>
      </c>
      <c r="J13" s="61">
        <f>J10*+Assumptions!$C$24</f>
        <v>11218.878504672894</v>
      </c>
      <c r="K13" s="61">
        <f>K10*+Assumptions!$C$24</f>
        <v>12657.196261682242</v>
      </c>
      <c r="L13" s="61">
        <f>L10*+Assumptions!$C$24</f>
        <v>7671.028037383177</v>
      </c>
      <c r="M13" s="61">
        <f>M10*+Assumptions!$C$24</f>
        <v>6136.822429906541</v>
      </c>
      <c r="N13" s="16"/>
      <c r="O13" s="15">
        <f>SUM(B13:M13)</f>
        <v>122580.63084112148</v>
      </c>
      <c r="P13" s="17">
        <f aca="true" t="shared" si="7" ref="P13:P23">O13/$O$10</f>
        <v>0.12000000000000001</v>
      </c>
      <c r="R13" s="107"/>
      <c r="S13" s="107"/>
      <c r="T13" s="107"/>
    </row>
    <row r="14" spans="1:20" ht="12.75">
      <c r="A14" s="31" t="s">
        <v>33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16"/>
      <c r="O14" s="20">
        <f aca="true" t="shared" si="8" ref="O14:O21">SUM(B14:M14)</f>
        <v>0</v>
      </c>
      <c r="P14" s="17">
        <f t="shared" si="7"/>
        <v>0</v>
      </c>
      <c r="R14" s="107"/>
      <c r="S14" s="107"/>
      <c r="T14" s="107"/>
    </row>
    <row r="15" spans="1:20" ht="12.75">
      <c r="A15" s="31" t="s">
        <v>44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6"/>
      <c r="O15" s="20">
        <f t="shared" si="8"/>
        <v>0</v>
      </c>
      <c r="P15" s="17">
        <f t="shared" si="7"/>
        <v>0</v>
      </c>
      <c r="R15" s="107"/>
      <c r="S15" s="107"/>
      <c r="T15" s="107"/>
    </row>
    <row r="16" spans="1:20" ht="12.75">
      <c r="A16" s="1" t="s">
        <v>34</v>
      </c>
      <c r="B16" s="61">
        <f>+Assumptions!C20</f>
        <v>19502.769230769234</v>
      </c>
      <c r="C16" s="61">
        <f>+Assumptions!D20</f>
        <v>19502.769230769234</v>
      </c>
      <c r="D16" s="61">
        <f>+Assumptions!E20</f>
        <v>20529.230769230773</v>
      </c>
      <c r="E16" s="61">
        <f>+Assumptions!F20</f>
        <v>25661.538461538465</v>
      </c>
      <c r="F16" s="61">
        <f>+Assumptions!G20</f>
        <v>32333.538461538465</v>
      </c>
      <c r="G16" s="61">
        <f>+Assumptions!H20</f>
        <v>33360</v>
      </c>
      <c r="H16" s="61">
        <f>+Assumptions!I20</f>
        <v>33360</v>
      </c>
      <c r="I16" s="61">
        <f>+Assumptions!J20</f>
        <v>36696.00000000001</v>
      </c>
      <c r="J16" s="61">
        <f>+Assumptions!K20</f>
        <v>30024.000000000004</v>
      </c>
      <c r="K16" s="61">
        <f>+Assumptions!L20</f>
        <v>33873.23076923077</v>
      </c>
      <c r="L16" s="61">
        <f>+Assumptions!M20</f>
        <v>20529.230769230773</v>
      </c>
      <c r="M16" s="61">
        <f>+Assumptions!N20</f>
        <v>16423.384615384617</v>
      </c>
      <c r="N16" s="16"/>
      <c r="O16" s="20">
        <f t="shared" si="8"/>
        <v>321795.6923076923</v>
      </c>
      <c r="P16" s="17">
        <f t="shared" si="7"/>
        <v>0.3150210829553746</v>
      </c>
      <c r="R16" s="107"/>
      <c r="S16" s="107"/>
      <c r="T16" s="107"/>
    </row>
    <row r="17" spans="1:16" ht="12.75">
      <c r="A17" s="1" t="s">
        <v>35</v>
      </c>
      <c r="B17" s="61">
        <f>+Assumptions!C21</f>
        <v>0</v>
      </c>
      <c r="C17" s="61">
        <f>+Assumptions!D21</f>
        <v>0</v>
      </c>
      <c r="D17" s="61">
        <f>+Assumptions!E21</f>
        <v>0</v>
      </c>
      <c r="E17" s="61">
        <f>+Assumptions!F21</f>
        <v>0</v>
      </c>
      <c r="F17" s="61">
        <f>+Assumptions!G21</f>
        <v>0</v>
      </c>
      <c r="G17" s="61">
        <f>+Assumptions!H21</f>
        <v>3127.5000000000005</v>
      </c>
      <c r="H17" s="61">
        <f>+Assumptions!I21</f>
        <v>3127.5000000000005</v>
      </c>
      <c r="I17" s="61">
        <f>+Assumptions!J21</f>
        <v>3127.5000000000005</v>
      </c>
      <c r="J17" s="61">
        <f>+Assumptions!K21</f>
        <v>0</v>
      </c>
      <c r="K17" s="61">
        <f>+Assumptions!L21</f>
        <v>0</v>
      </c>
      <c r="L17" s="61">
        <f>+Assumptions!M21</f>
        <v>0</v>
      </c>
      <c r="M17" s="61">
        <f>+Assumptions!N21</f>
        <v>0</v>
      </c>
      <c r="N17" s="16"/>
      <c r="O17" s="20">
        <f t="shared" si="8"/>
        <v>9382.500000000002</v>
      </c>
      <c r="P17" s="17">
        <f t="shared" si="7"/>
        <v>0.0091849747572216</v>
      </c>
    </row>
    <row r="18" spans="1:16" ht="12.75">
      <c r="A18" s="1" t="s">
        <v>86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16"/>
      <c r="O18" s="20">
        <f t="shared" si="8"/>
        <v>0</v>
      </c>
      <c r="P18" s="17">
        <f t="shared" si="7"/>
        <v>0</v>
      </c>
    </row>
    <row r="19" spans="1:16" ht="12.75">
      <c r="A19" s="1" t="s">
        <v>117</v>
      </c>
      <c r="B19" s="61">
        <f>+(Personnel!$D$51*Assumptions!$C$9*80)/12</f>
        <v>855.3846153846156</v>
      </c>
      <c r="C19" s="61">
        <f>+(Personnel!$D$51*Assumptions!$C$9*80)/12</f>
        <v>855.3846153846156</v>
      </c>
      <c r="D19" s="61">
        <f>+(Personnel!$D$51*Assumptions!$C$9*80)/12</f>
        <v>855.3846153846156</v>
      </c>
      <c r="E19" s="61">
        <f>+(Personnel!$D$51*Assumptions!$C$9*80)/12</f>
        <v>855.3846153846156</v>
      </c>
      <c r="F19" s="61">
        <f>+(Personnel!$D$51*Assumptions!$C$9*80)/12</f>
        <v>855.3846153846156</v>
      </c>
      <c r="G19" s="61">
        <f>+(Personnel!$D$51*Assumptions!$C$9*80)/12</f>
        <v>855.3846153846156</v>
      </c>
      <c r="H19" s="61">
        <f>+(Personnel!$D$51*Assumptions!$C$9*80)/12</f>
        <v>855.3846153846156</v>
      </c>
      <c r="I19" s="61">
        <f>+(Personnel!$D$51*Assumptions!$C$9*80)/12</f>
        <v>855.3846153846156</v>
      </c>
      <c r="J19" s="61">
        <f>+(Personnel!$D$51*Assumptions!$C$9*80)/12</f>
        <v>855.3846153846156</v>
      </c>
      <c r="K19" s="61">
        <f>+(Personnel!$D$51*Assumptions!$C$9*80)/12</f>
        <v>855.3846153846156</v>
      </c>
      <c r="L19" s="61">
        <f>+(Personnel!$D$51*Assumptions!$C$9*80)/12</f>
        <v>855.3846153846156</v>
      </c>
      <c r="M19" s="61">
        <f>+(Personnel!$D$51*Assumptions!$C$9*80)/12</f>
        <v>855.3846153846156</v>
      </c>
      <c r="N19" s="16"/>
      <c r="O19" s="20">
        <f t="shared" si="8"/>
        <v>10264.615384615385</v>
      </c>
      <c r="P19" s="17">
        <f t="shared" si="7"/>
        <v>0.010048519392515937</v>
      </c>
    </row>
    <row r="20" spans="1:16" ht="12.75">
      <c r="A20" s="1" t="s">
        <v>99</v>
      </c>
      <c r="B20" s="60">
        <f>SUM(B16:B18)*+Assumptions!$C$26</f>
        <v>1560.2215384615388</v>
      </c>
      <c r="C20" s="60">
        <f>SUM(C16:C18)*+Assumptions!$C$26</f>
        <v>1560.2215384615388</v>
      </c>
      <c r="D20" s="60">
        <f>SUM(D16:D18)*+Assumptions!$C$26</f>
        <v>1642.3384615384618</v>
      </c>
      <c r="E20" s="60">
        <f>SUM(E16:E18)*+Assumptions!$C$26</f>
        <v>2052.923076923077</v>
      </c>
      <c r="F20" s="60">
        <f>SUM(F16:F18)*+Assumptions!$C$26</f>
        <v>2586.6830769230774</v>
      </c>
      <c r="G20" s="60">
        <f>SUM(G16:G18)*+Assumptions!$C$26</f>
        <v>2919</v>
      </c>
      <c r="H20" s="60">
        <f>SUM(H16:H18)*+Assumptions!$C$26</f>
        <v>2919</v>
      </c>
      <c r="I20" s="60">
        <f>SUM(I16:I18)*+Assumptions!$C$26</f>
        <v>3185.8800000000006</v>
      </c>
      <c r="J20" s="60">
        <f>SUM(J16:J18)*+Assumptions!$C$26</f>
        <v>2401.9200000000005</v>
      </c>
      <c r="K20" s="60">
        <f>SUM(K16:K18)*+Assumptions!$C$26</f>
        <v>2709.858461538462</v>
      </c>
      <c r="L20" s="60">
        <f>SUM(L16:L18)*+Assumptions!$C$26</f>
        <v>1642.3384615384618</v>
      </c>
      <c r="M20" s="60">
        <f>SUM(M16:M18)*+Assumptions!$C$26</f>
        <v>1313.8707692307694</v>
      </c>
      <c r="N20" s="16"/>
      <c r="O20" s="20">
        <f t="shared" si="8"/>
        <v>26494.255384615386</v>
      </c>
      <c r="P20" s="17">
        <f t="shared" si="7"/>
        <v>0.025936484617007698</v>
      </c>
    </row>
    <row r="21" spans="1:16" ht="12.75">
      <c r="A21" s="1" t="s">
        <v>45</v>
      </c>
      <c r="B21" s="60">
        <f>SUM(B16:B18)*+Assumptions!$C$28</f>
        <v>2145.3046153846158</v>
      </c>
      <c r="C21" s="60">
        <f>SUM(C16:C18)*+Assumptions!$C$28</f>
        <v>2145.3046153846158</v>
      </c>
      <c r="D21" s="60">
        <f>SUM(D16:D18)*+Assumptions!$C$28</f>
        <v>2258.215384615385</v>
      </c>
      <c r="E21" s="60">
        <f>SUM(E16:E18)*+Assumptions!$C$28</f>
        <v>2822.769230769231</v>
      </c>
      <c r="F21" s="60">
        <f>SUM(F16:F18)*+Assumptions!$C$28</f>
        <v>3556.689230769231</v>
      </c>
      <c r="G21" s="60">
        <f>SUM(G16:G18)*+Assumptions!$C$28</f>
        <v>4013.625</v>
      </c>
      <c r="H21" s="60">
        <f>SUM(H16:H18)*+Assumptions!$C$28</f>
        <v>4013.625</v>
      </c>
      <c r="I21" s="60">
        <f>SUM(I16:I18)*+Assumptions!$C$28</f>
        <v>4380.585000000001</v>
      </c>
      <c r="J21" s="60">
        <f>SUM(J16:J18)*+Assumptions!$C$28</f>
        <v>3302.6400000000003</v>
      </c>
      <c r="K21" s="60">
        <f>SUM(K16:K18)*+Assumptions!$C$28</f>
        <v>3726.0553846153853</v>
      </c>
      <c r="L21" s="60">
        <f>SUM(L16:L18)*+Assumptions!$C$28</f>
        <v>2258.215384615385</v>
      </c>
      <c r="M21" s="60">
        <f>SUM(M16:M18)*+Assumptions!$C$28</f>
        <v>1806.572307692308</v>
      </c>
      <c r="N21" s="16"/>
      <c r="O21" s="20">
        <f t="shared" si="8"/>
        <v>36429.60115384615</v>
      </c>
      <c r="P21" s="17">
        <f t="shared" si="7"/>
        <v>0.03566266634838558</v>
      </c>
    </row>
    <row r="22" spans="1:16" ht="12.75">
      <c r="A22" s="41" t="s">
        <v>59</v>
      </c>
      <c r="B22" s="22">
        <f>SUM(B13:B21)</f>
        <v>31351.15663551402</v>
      </c>
      <c r="C22" s="22">
        <f aca="true" t="shared" si="9" ref="C22:M22">SUM(C13:C21)</f>
        <v>31351.15663551402</v>
      </c>
      <c r="D22" s="22">
        <f t="shared" si="9"/>
        <v>32956.19726815241</v>
      </c>
      <c r="E22" s="22">
        <f t="shared" si="9"/>
        <v>40981.400431344366</v>
      </c>
      <c r="F22" s="22">
        <f t="shared" si="9"/>
        <v>51414.1645434939</v>
      </c>
      <c r="G22" s="22">
        <f t="shared" si="9"/>
        <v>57520.01896117901</v>
      </c>
      <c r="H22" s="22">
        <f t="shared" si="9"/>
        <v>57520.01896117901</v>
      </c>
      <c r="I22" s="22">
        <f t="shared" si="9"/>
        <v>62736.401017253775</v>
      </c>
      <c r="J22" s="22">
        <f t="shared" si="9"/>
        <v>47802.82312005751</v>
      </c>
      <c r="K22" s="22">
        <f t="shared" si="9"/>
        <v>53821.72549245148</v>
      </c>
      <c r="L22" s="22">
        <f t="shared" si="9"/>
        <v>32956.19726815241</v>
      </c>
      <c r="M22" s="22">
        <f t="shared" si="9"/>
        <v>26536.034737598853</v>
      </c>
      <c r="N22" s="15"/>
      <c r="O22" s="74">
        <f>SUM(O13:O21)</f>
        <v>526947.2950718907</v>
      </c>
      <c r="P22" s="17">
        <f t="shared" si="7"/>
        <v>0.5158537280705054</v>
      </c>
    </row>
    <row r="23" spans="1:16" ht="13.5" thickBot="1">
      <c r="A23" s="40" t="s">
        <v>10</v>
      </c>
      <c r="B23" s="23">
        <f aca="true" t="shared" si="10" ref="B23:M23">(B10-B22)</f>
        <v>29377.815327102802</v>
      </c>
      <c r="C23" s="23">
        <f t="shared" si="10"/>
        <v>29377.815327102802</v>
      </c>
      <c r="D23" s="23">
        <f t="shared" si="10"/>
        <v>30969.0363767074</v>
      </c>
      <c r="E23" s="23">
        <f t="shared" si="10"/>
        <v>38925.14162473041</v>
      </c>
      <c r="F23" s="23">
        <f t="shared" si="10"/>
        <v>49268.0784471603</v>
      </c>
      <c r="G23" s="23">
        <f t="shared" si="10"/>
        <v>52850.89225377426</v>
      </c>
      <c r="H23" s="23">
        <f t="shared" si="10"/>
        <v>52850.89225377426</v>
      </c>
      <c r="I23" s="23">
        <f t="shared" si="10"/>
        <v>58022.36066498921</v>
      </c>
      <c r="J23" s="23">
        <f t="shared" si="10"/>
        <v>45687.831085549944</v>
      </c>
      <c r="K23" s="23">
        <f t="shared" si="10"/>
        <v>51654.910021567215</v>
      </c>
      <c r="L23" s="23">
        <f t="shared" si="10"/>
        <v>30969.0363767074</v>
      </c>
      <c r="M23" s="23">
        <f t="shared" si="10"/>
        <v>24604.152178288994</v>
      </c>
      <c r="N23" s="11"/>
      <c r="O23" s="23">
        <f>(O10-O22)</f>
        <v>494557.9619374549</v>
      </c>
      <c r="P23" s="17">
        <f t="shared" si="7"/>
        <v>0.4841462719294946</v>
      </c>
    </row>
    <row r="24" spans="1:15" ht="13.5" thickTop="1">
      <c r="A24" s="67" t="s">
        <v>90</v>
      </c>
      <c r="B24" s="68">
        <f aca="true" t="shared" si="11" ref="B24:M24">B23/B10</f>
        <v>0.48375288396429666</v>
      </c>
      <c r="C24" s="68">
        <f t="shared" si="11"/>
        <v>0.48375288396429666</v>
      </c>
      <c r="D24" s="68">
        <f t="shared" si="11"/>
        <v>0.48445714799820055</v>
      </c>
      <c r="E24" s="68">
        <f t="shared" si="11"/>
        <v>0.48713335132703545</v>
      </c>
      <c r="F24" s="68">
        <f t="shared" si="11"/>
        <v>0.48934228105877214</v>
      </c>
      <c r="G24" s="68">
        <f t="shared" si="11"/>
        <v>0.47884801957323986</v>
      </c>
      <c r="H24" s="68">
        <f t="shared" si="11"/>
        <v>0.47884801957323986</v>
      </c>
      <c r="I24" s="68">
        <f t="shared" si="11"/>
        <v>0.48048158043940203</v>
      </c>
      <c r="J24" s="68">
        <f t="shared" si="11"/>
        <v>0.4886887515523412</v>
      </c>
      <c r="K24" s="68">
        <f t="shared" si="11"/>
        <v>0.48972845758529965</v>
      </c>
      <c r="L24" s="68">
        <f t="shared" si="11"/>
        <v>0.48445714799820055</v>
      </c>
      <c r="M24" s="68">
        <f t="shared" si="11"/>
        <v>0.4811118938371569</v>
      </c>
      <c r="O24" s="13"/>
    </row>
    <row r="25" spans="3:15" ht="15">
      <c r="C25" s="15"/>
      <c r="D25" s="15"/>
      <c r="E25" s="15"/>
      <c r="F25" s="15"/>
      <c r="G25" s="15"/>
      <c r="H25" s="24"/>
      <c r="I25" s="15"/>
      <c r="J25" s="15"/>
      <c r="K25" s="15"/>
      <c r="O25" s="13"/>
    </row>
    <row r="26" spans="1:16" ht="15">
      <c r="A26" s="12" t="s">
        <v>40</v>
      </c>
      <c r="B26" s="15"/>
      <c r="C26" s="15"/>
      <c r="D26" s="15"/>
      <c r="E26" s="15"/>
      <c r="F26" s="15"/>
      <c r="G26" s="15"/>
      <c r="H26" s="24"/>
      <c r="I26" s="15"/>
      <c r="J26" s="15"/>
      <c r="K26" s="15"/>
      <c r="L26" s="15"/>
      <c r="M26" s="15"/>
      <c r="N26" s="16"/>
      <c r="O26" s="20"/>
      <c r="P26" s="1"/>
    </row>
    <row r="27" spans="1:16" ht="12.75">
      <c r="A27" s="31" t="s">
        <v>46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16"/>
      <c r="O27" s="20">
        <f aca="true" t="shared" si="12" ref="O27:O39">SUM(B27:M27)</f>
        <v>0</v>
      </c>
      <c r="P27" s="17">
        <f aca="true" t="shared" si="13" ref="P27:P39">O27/$O$10</f>
        <v>0</v>
      </c>
    </row>
    <row r="28" spans="1:16" ht="12.75">
      <c r="A28" s="31" t="s">
        <v>15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16"/>
      <c r="O28" s="20">
        <f t="shared" si="12"/>
        <v>0</v>
      </c>
      <c r="P28" s="17">
        <f t="shared" si="13"/>
        <v>0</v>
      </c>
    </row>
    <row r="29" spans="1:16" ht="12.75">
      <c r="A29" s="1" t="s">
        <v>36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16"/>
      <c r="O29" s="20">
        <f t="shared" si="12"/>
        <v>0</v>
      </c>
      <c r="P29" s="17">
        <f t="shared" si="13"/>
        <v>0</v>
      </c>
    </row>
    <row r="30" spans="1:16" ht="12.75">
      <c r="A30" s="31" t="s">
        <v>51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16"/>
      <c r="O30" s="20">
        <f t="shared" si="12"/>
        <v>0</v>
      </c>
      <c r="P30" s="17">
        <f t="shared" si="13"/>
        <v>0</v>
      </c>
    </row>
    <row r="31" spans="1:16" ht="12.75">
      <c r="A31" s="1" t="s">
        <v>67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16"/>
      <c r="O31" s="20">
        <f t="shared" si="12"/>
        <v>0</v>
      </c>
      <c r="P31" s="17">
        <f t="shared" si="13"/>
        <v>0</v>
      </c>
    </row>
    <row r="32" spans="1:16" ht="12.75">
      <c r="A32" s="1" t="s">
        <v>27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16"/>
      <c r="O32" s="20">
        <f t="shared" si="12"/>
        <v>0</v>
      </c>
      <c r="P32" s="17">
        <f t="shared" si="13"/>
        <v>0</v>
      </c>
    </row>
    <row r="33" spans="1:16" ht="12.75">
      <c r="A33" s="32" t="s">
        <v>89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16"/>
      <c r="O33" s="20">
        <f t="shared" si="12"/>
        <v>0</v>
      </c>
      <c r="P33" s="17">
        <f t="shared" si="13"/>
        <v>0</v>
      </c>
    </row>
    <row r="34" spans="1:16" ht="12.75">
      <c r="A34" s="32" t="s">
        <v>92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16"/>
      <c r="O34" s="20">
        <f>SUM(B34:M34)</f>
        <v>0</v>
      </c>
      <c r="P34" s="17">
        <f t="shared" si="13"/>
        <v>0</v>
      </c>
    </row>
    <row r="35" spans="1:16" ht="12.75">
      <c r="A35" s="32" t="s">
        <v>93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16"/>
      <c r="O35" s="20">
        <f>SUM(B35:M35)</f>
        <v>0</v>
      </c>
      <c r="P35" s="17">
        <f t="shared" si="13"/>
        <v>0</v>
      </c>
    </row>
    <row r="36" spans="1:16" ht="12.75">
      <c r="A36" s="31" t="s">
        <v>31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5"/>
      <c r="O36" s="20">
        <f t="shared" si="12"/>
        <v>0</v>
      </c>
      <c r="P36" s="17">
        <f t="shared" si="13"/>
        <v>0</v>
      </c>
    </row>
    <row r="37" spans="1:16" ht="12.75">
      <c r="A37" s="31" t="s">
        <v>42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5"/>
      <c r="O37" s="20">
        <f t="shared" si="12"/>
        <v>0</v>
      </c>
      <c r="P37" s="17">
        <f t="shared" si="13"/>
        <v>0</v>
      </c>
    </row>
    <row r="38" spans="1:16" ht="12.75">
      <c r="A38" s="31" t="s">
        <v>61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5"/>
      <c r="O38" s="20">
        <f t="shared" si="12"/>
        <v>0</v>
      </c>
      <c r="P38" s="17">
        <f t="shared" si="13"/>
        <v>0</v>
      </c>
    </row>
    <row r="39" spans="1:16" ht="12.75">
      <c r="A39" s="31" t="s">
        <v>47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5"/>
      <c r="O39" s="20">
        <f t="shared" si="12"/>
        <v>0</v>
      </c>
      <c r="P39" s="17">
        <f t="shared" si="13"/>
        <v>0</v>
      </c>
    </row>
    <row r="40" spans="1:16" ht="13.5" thickBot="1">
      <c r="A40" s="42" t="s">
        <v>57</v>
      </c>
      <c r="B40" s="30">
        <f aca="true" t="shared" si="14" ref="B40:M40">SUM(B27:B39)</f>
        <v>0</v>
      </c>
      <c r="C40" s="30">
        <f t="shared" si="14"/>
        <v>0</v>
      </c>
      <c r="D40" s="30">
        <f t="shared" si="14"/>
        <v>0</v>
      </c>
      <c r="E40" s="30">
        <f t="shared" si="14"/>
        <v>0</v>
      </c>
      <c r="F40" s="30">
        <f t="shared" si="14"/>
        <v>0</v>
      </c>
      <c r="G40" s="30">
        <f t="shared" si="14"/>
        <v>0</v>
      </c>
      <c r="H40" s="30">
        <f t="shared" si="14"/>
        <v>0</v>
      </c>
      <c r="I40" s="30">
        <f t="shared" si="14"/>
        <v>0</v>
      </c>
      <c r="J40" s="30">
        <f t="shared" si="14"/>
        <v>0</v>
      </c>
      <c r="K40" s="30">
        <f t="shared" si="14"/>
        <v>0</v>
      </c>
      <c r="L40" s="30">
        <f t="shared" si="14"/>
        <v>0</v>
      </c>
      <c r="M40" s="30">
        <f t="shared" si="14"/>
        <v>0</v>
      </c>
      <c r="N40" s="16"/>
      <c r="O40" s="30">
        <f>SUM(O27:O39)</f>
        <v>0</v>
      </c>
      <c r="P40" s="17">
        <f>O40/$O$10</f>
        <v>0</v>
      </c>
    </row>
    <row r="41" spans="1:16" ht="13.5" thickTop="1">
      <c r="A41" s="1"/>
      <c r="B41" s="15"/>
      <c r="C41" s="15"/>
      <c r="D41" s="15"/>
      <c r="E41" s="15"/>
      <c r="F41" s="15"/>
      <c r="G41" s="15"/>
      <c r="H41" s="2"/>
      <c r="I41" s="15"/>
      <c r="J41" s="15"/>
      <c r="K41" s="15"/>
      <c r="L41" s="15"/>
      <c r="M41" s="15"/>
      <c r="N41" s="16"/>
      <c r="O41" s="15"/>
      <c r="P41" s="17"/>
    </row>
    <row r="42" spans="1:16" ht="12.75">
      <c r="A42" s="35" t="s">
        <v>58</v>
      </c>
      <c r="B42" s="15"/>
      <c r="C42" s="15"/>
      <c r="D42" s="15"/>
      <c r="E42" s="15"/>
      <c r="F42" s="15"/>
      <c r="G42" s="15"/>
      <c r="H42" s="2"/>
      <c r="I42" s="15"/>
      <c r="J42" s="15"/>
      <c r="K42" s="15"/>
      <c r="L42" s="15"/>
      <c r="M42" s="15"/>
      <c r="N42" s="16"/>
      <c r="O42" s="15"/>
      <c r="P42" s="17"/>
    </row>
    <row r="43" spans="1:16" ht="12.75">
      <c r="A43" s="31" t="s">
        <v>79</v>
      </c>
      <c r="B43" s="61">
        <f>+Personnel!$D$13/12</f>
        <v>3000</v>
      </c>
      <c r="C43" s="61">
        <f>+Personnel!$D$13/12</f>
        <v>3000</v>
      </c>
      <c r="D43" s="61">
        <f>+Personnel!$D$13/12</f>
        <v>3000</v>
      </c>
      <c r="E43" s="61">
        <f>+Personnel!$D$13/12</f>
        <v>3000</v>
      </c>
      <c r="F43" s="61">
        <f>+Personnel!$D$13/12</f>
        <v>3000</v>
      </c>
      <c r="G43" s="61">
        <f>+Personnel!$D$13/12</f>
        <v>3000</v>
      </c>
      <c r="H43" s="61">
        <f>+Personnel!$D$13/12</f>
        <v>3000</v>
      </c>
      <c r="I43" s="61">
        <f>+Personnel!$D$13/12</f>
        <v>3000</v>
      </c>
      <c r="J43" s="61">
        <f>+Personnel!$D$13/12</f>
        <v>3000</v>
      </c>
      <c r="K43" s="61">
        <f>+Personnel!$D$13/12</f>
        <v>3000</v>
      </c>
      <c r="L43" s="61">
        <f>+Personnel!$D$13/12</f>
        <v>3000</v>
      </c>
      <c r="M43" s="61">
        <f>+Personnel!$D$13/12</f>
        <v>3000</v>
      </c>
      <c r="N43" s="16"/>
      <c r="O43" s="20">
        <f>SUM(B43:M43)</f>
        <v>36000</v>
      </c>
      <c r="P43" s="17">
        <f aca="true" t="shared" si="15" ref="P43:P84">O43/$O$10</f>
        <v>0.035242109380226753</v>
      </c>
    </row>
    <row r="44" spans="1:16" ht="12.75">
      <c r="A44" s="31" t="s">
        <v>80</v>
      </c>
      <c r="B44" s="61">
        <f>+Personnel!D14/12</f>
        <v>0</v>
      </c>
      <c r="C44" s="61">
        <f>+Personnel!E14/12</f>
        <v>0</v>
      </c>
      <c r="D44" s="61">
        <f>+Personnel!F14/12</f>
        <v>0</v>
      </c>
      <c r="E44" s="61">
        <f>+Personnel!G14/12</f>
        <v>0</v>
      </c>
      <c r="F44" s="61">
        <f>+Personnel!H14/12</f>
        <v>0</v>
      </c>
      <c r="G44" s="61">
        <f>+Personnel!I14/12</f>
        <v>0</v>
      </c>
      <c r="H44" s="61">
        <f>+Personnel!J14/12</f>
        <v>0</v>
      </c>
      <c r="I44" s="61">
        <f>+Personnel!K14/12</f>
        <v>0</v>
      </c>
      <c r="J44" s="61">
        <f>+Personnel!L14/12</f>
        <v>0</v>
      </c>
      <c r="K44" s="61">
        <f>+Personnel!M14/12</f>
        <v>0</v>
      </c>
      <c r="L44" s="61">
        <f>+Personnel!N14/12</f>
        <v>0</v>
      </c>
      <c r="M44" s="61">
        <f>+Personnel!O14/12</f>
        <v>0</v>
      </c>
      <c r="N44" s="3"/>
      <c r="O44" s="20">
        <f aca="true" t="shared" si="16" ref="O44:O51">SUM(B44:M44)</f>
        <v>0</v>
      </c>
      <c r="P44" s="17">
        <f t="shared" si="15"/>
        <v>0</v>
      </c>
    </row>
    <row r="45" spans="1:16" ht="12.75">
      <c r="A45" s="31" t="s">
        <v>76</v>
      </c>
      <c r="B45" s="61">
        <f>+Personnel!$D$15/12</f>
        <v>3333.3333333333335</v>
      </c>
      <c r="C45" s="61">
        <f>+Personnel!$D$15/12</f>
        <v>3333.3333333333335</v>
      </c>
      <c r="D45" s="61">
        <f>+Personnel!$D$15/12</f>
        <v>3333.3333333333335</v>
      </c>
      <c r="E45" s="61">
        <f>+Personnel!$D$15/12</f>
        <v>3333.3333333333335</v>
      </c>
      <c r="F45" s="61">
        <f>+Personnel!$D$15/12</f>
        <v>3333.3333333333335</v>
      </c>
      <c r="G45" s="61">
        <f>+Personnel!$D$15/12</f>
        <v>3333.3333333333335</v>
      </c>
      <c r="H45" s="61">
        <f>+Personnel!$D$15/12</f>
        <v>3333.3333333333335</v>
      </c>
      <c r="I45" s="61">
        <f>+Personnel!$D$15/12</f>
        <v>3333.3333333333335</v>
      </c>
      <c r="J45" s="61">
        <f>+Personnel!$D$15/12</f>
        <v>3333.3333333333335</v>
      </c>
      <c r="K45" s="61">
        <f>+Personnel!$D$15/12</f>
        <v>3333.3333333333335</v>
      </c>
      <c r="L45" s="61">
        <f>+Personnel!$D$15/12</f>
        <v>3333.3333333333335</v>
      </c>
      <c r="M45" s="61">
        <f>+Personnel!$D$15/12</f>
        <v>3333.3333333333335</v>
      </c>
      <c r="N45" s="16"/>
      <c r="O45" s="20">
        <f t="shared" si="16"/>
        <v>40000</v>
      </c>
      <c r="P45" s="17">
        <f t="shared" si="15"/>
        <v>0.03915789931136306</v>
      </c>
    </row>
    <row r="46" spans="1:16" ht="12.75">
      <c r="A46" s="31" t="s">
        <v>81</v>
      </c>
      <c r="B46" s="61">
        <f>+Personnel!D16/12</f>
        <v>0</v>
      </c>
      <c r="C46" s="61">
        <f>+Personnel!E16/12</f>
        <v>0</v>
      </c>
      <c r="D46" s="61">
        <f>+Personnel!F16/12</f>
        <v>0</v>
      </c>
      <c r="E46" s="61">
        <f>+Personnel!G16/12</f>
        <v>0</v>
      </c>
      <c r="F46" s="61">
        <f>+Personnel!H16/12</f>
        <v>0</v>
      </c>
      <c r="G46" s="61">
        <f>+Personnel!I16/12</f>
        <v>0</v>
      </c>
      <c r="H46" s="61">
        <f>+Personnel!J16/12</f>
        <v>0</v>
      </c>
      <c r="I46" s="61">
        <f>+Personnel!K16/12</f>
        <v>0</v>
      </c>
      <c r="J46" s="61">
        <f>+Personnel!L16/12</f>
        <v>0</v>
      </c>
      <c r="K46" s="61">
        <f>+Personnel!M16/12</f>
        <v>0</v>
      </c>
      <c r="L46" s="61">
        <f>+Personnel!N16/12</f>
        <v>0</v>
      </c>
      <c r="M46" s="61">
        <f>+Personnel!O16/12</f>
        <v>0</v>
      </c>
      <c r="N46" s="16"/>
      <c r="O46" s="20">
        <f t="shared" si="16"/>
        <v>0</v>
      </c>
      <c r="P46" s="17">
        <f t="shared" si="15"/>
        <v>0</v>
      </c>
    </row>
    <row r="47" spans="1:16" ht="12.75">
      <c r="A47" s="31" t="s">
        <v>82</v>
      </c>
      <c r="B47" s="61">
        <f>+Personnel!$D$7/12</f>
        <v>8333.333333333334</v>
      </c>
      <c r="C47" s="61">
        <f>+Personnel!$D$7/12</f>
        <v>8333.333333333334</v>
      </c>
      <c r="D47" s="61">
        <f>+Personnel!$D$7/12</f>
        <v>8333.333333333334</v>
      </c>
      <c r="E47" s="61">
        <f>+Personnel!$D$7/12</f>
        <v>8333.333333333334</v>
      </c>
      <c r="F47" s="61">
        <f>+Personnel!$D$7/12</f>
        <v>8333.333333333334</v>
      </c>
      <c r="G47" s="61">
        <f>+Personnel!$D$7/12</f>
        <v>8333.333333333334</v>
      </c>
      <c r="H47" s="61">
        <f>+Personnel!$D$7/12</f>
        <v>8333.333333333334</v>
      </c>
      <c r="I47" s="61">
        <f>+Personnel!$D$7/12</f>
        <v>8333.333333333334</v>
      </c>
      <c r="J47" s="61">
        <f>+Personnel!$D$7/12</f>
        <v>8333.333333333334</v>
      </c>
      <c r="K47" s="61">
        <f>+Personnel!$D$7/12</f>
        <v>8333.333333333334</v>
      </c>
      <c r="L47" s="61">
        <f>+Personnel!$D$7/12</f>
        <v>8333.333333333334</v>
      </c>
      <c r="M47" s="61">
        <f>+Personnel!$D$7/12</f>
        <v>8333.333333333334</v>
      </c>
      <c r="N47" s="25"/>
      <c r="O47" s="20">
        <f t="shared" si="16"/>
        <v>99999.99999999999</v>
      </c>
      <c r="P47" s="17">
        <f t="shared" si="15"/>
        <v>0.09789474827840763</v>
      </c>
    </row>
    <row r="48" spans="1:16" ht="12.75">
      <c r="A48" s="31" t="s">
        <v>98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5"/>
      <c r="O48" s="20">
        <f>SUM(B48:M48)</f>
        <v>0</v>
      </c>
      <c r="P48" s="17">
        <f t="shared" si="15"/>
        <v>0</v>
      </c>
    </row>
    <row r="49" spans="1:16" ht="12.75">
      <c r="A49" s="31" t="s">
        <v>52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5"/>
      <c r="O49" s="20">
        <f t="shared" si="16"/>
        <v>0</v>
      </c>
      <c r="P49" s="17">
        <f t="shared" si="15"/>
        <v>0</v>
      </c>
    </row>
    <row r="50" spans="1:16" ht="12.75">
      <c r="A50" s="31" t="s">
        <v>91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5"/>
      <c r="O50" s="20">
        <f t="shared" si="16"/>
        <v>0</v>
      </c>
      <c r="P50" s="17">
        <f t="shared" si="15"/>
        <v>0</v>
      </c>
    </row>
    <row r="51" spans="1:58" ht="12.75">
      <c r="A51" s="31" t="s">
        <v>37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6"/>
      <c r="O51" s="20">
        <f t="shared" si="16"/>
        <v>0</v>
      </c>
      <c r="P51" s="17">
        <f t="shared" si="15"/>
        <v>0</v>
      </c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</row>
    <row r="52" spans="1:58" ht="12.75">
      <c r="A52" s="31" t="s">
        <v>101</v>
      </c>
      <c r="B52" s="61">
        <f>SUM(B43:B46)*+Assumptions!$C$26</f>
        <v>506.66666666666674</v>
      </c>
      <c r="C52" s="61">
        <f>SUM(C43:C46)*+Assumptions!$C$26</f>
        <v>506.66666666666674</v>
      </c>
      <c r="D52" s="61">
        <f>SUM(D43:D46)*+Assumptions!$C$26</f>
        <v>506.66666666666674</v>
      </c>
      <c r="E52" s="61">
        <f>SUM(E43:E46)*+Assumptions!$C$26</f>
        <v>506.66666666666674</v>
      </c>
      <c r="F52" s="61">
        <f>SUM(F43:F46)*+Assumptions!$C$26</f>
        <v>506.66666666666674</v>
      </c>
      <c r="G52" s="61">
        <f>SUM(G43:G46)*+Assumptions!$C$26</f>
        <v>506.66666666666674</v>
      </c>
      <c r="H52" s="61">
        <f>SUM(H43:H46)*+Assumptions!$C$26</f>
        <v>506.66666666666674</v>
      </c>
      <c r="I52" s="61">
        <f>SUM(I43:I46)*+Assumptions!$C$26</f>
        <v>506.66666666666674</v>
      </c>
      <c r="J52" s="61">
        <f>SUM(J43:J46)*+Assumptions!$C$26</f>
        <v>506.66666666666674</v>
      </c>
      <c r="K52" s="61">
        <f>SUM(K43:K46)*+Assumptions!$C$26</f>
        <v>506.66666666666674</v>
      </c>
      <c r="L52" s="61">
        <f>SUM(L43:L46)*+Assumptions!$C$26</f>
        <v>506.66666666666674</v>
      </c>
      <c r="M52" s="61">
        <f>SUM(M43:M46)*+Assumptions!$C$26</f>
        <v>506.66666666666674</v>
      </c>
      <c r="N52" s="25"/>
      <c r="O52" s="20">
        <f aca="true" t="shared" si="17" ref="O52:O83">SUM(B52:M52)</f>
        <v>6080.000000000003</v>
      </c>
      <c r="P52" s="26">
        <f t="shared" si="15"/>
        <v>0.005952000695327188</v>
      </c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</row>
    <row r="53" spans="1:58" ht="12.75">
      <c r="A53" s="31" t="s">
        <v>48</v>
      </c>
      <c r="B53" s="60">
        <f>SUM(B43:B47)*+Assumptions!$C$28</f>
        <v>1613.3333333333335</v>
      </c>
      <c r="C53" s="60">
        <f>SUM(C43:C47)*+Assumptions!$C$28</f>
        <v>1613.3333333333335</v>
      </c>
      <c r="D53" s="60">
        <f>SUM(D43:D47)*+Assumptions!$C$28</f>
        <v>1613.3333333333335</v>
      </c>
      <c r="E53" s="60">
        <f>SUM(E43:E47)*+Assumptions!$C$28</f>
        <v>1613.3333333333335</v>
      </c>
      <c r="F53" s="60">
        <f>SUM(F43:F47)*+Assumptions!$C$28</f>
        <v>1613.3333333333335</v>
      </c>
      <c r="G53" s="60">
        <f>SUM(G43:G47)*+Assumptions!$C$28</f>
        <v>1613.3333333333335</v>
      </c>
      <c r="H53" s="60">
        <f>SUM(H43:H47)*+Assumptions!$C$28</f>
        <v>1613.3333333333335</v>
      </c>
      <c r="I53" s="60">
        <f>SUM(I43:I47)*+Assumptions!$C$28</f>
        <v>1613.3333333333335</v>
      </c>
      <c r="J53" s="60">
        <f>SUM(J43:J47)*+Assumptions!$C$28</f>
        <v>1613.3333333333335</v>
      </c>
      <c r="K53" s="60">
        <f>SUM(K43:K47)*+Assumptions!$C$28</f>
        <v>1613.3333333333335</v>
      </c>
      <c r="L53" s="60">
        <f>SUM(L43:L47)*+Assumptions!$C$28</f>
        <v>1613.3333333333335</v>
      </c>
      <c r="M53" s="60">
        <f>SUM(M43:M47)*+Assumptions!$C$28</f>
        <v>1613.3333333333335</v>
      </c>
      <c r="N53" s="25"/>
      <c r="O53" s="20">
        <f t="shared" si="17"/>
        <v>19360.000000000004</v>
      </c>
      <c r="P53" s="26">
        <f t="shared" si="15"/>
        <v>0.018952423266699724</v>
      </c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</row>
    <row r="54" spans="1:58" ht="12.75">
      <c r="A54" s="31" t="s">
        <v>21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6"/>
      <c r="O54" s="20">
        <f t="shared" si="17"/>
        <v>0</v>
      </c>
      <c r="P54" s="17">
        <f t="shared" si="15"/>
        <v>0</v>
      </c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</row>
    <row r="55" spans="1:58" ht="12.75">
      <c r="A55" s="31" t="s">
        <v>66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6"/>
      <c r="O55" s="20">
        <f t="shared" si="17"/>
        <v>0</v>
      </c>
      <c r="P55" s="17">
        <f t="shared" si="15"/>
        <v>0</v>
      </c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</row>
    <row r="56" spans="1:17" ht="12.75">
      <c r="A56" s="31" t="s">
        <v>56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20">
        <f t="shared" si="17"/>
        <v>0</v>
      </c>
      <c r="P56" s="17">
        <f t="shared" si="15"/>
        <v>0</v>
      </c>
      <c r="Q56" s="13"/>
    </row>
    <row r="57" spans="1:17" ht="12.75">
      <c r="A57" s="31" t="s">
        <v>13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6"/>
      <c r="O57" s="20">
        <f t="shared" si="17"/>
        <v>0</v>
      </c>
      <c r="P57" s="17">
        <f t="shared" si="15"/>
        <v>0</v>
      </c>
      <c r="Q57" s="13"/>
    </row>
    <row r="58" spans="1:17" ht="12.75">
      <c r="A58" s="31" t="s">
        <v>14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6"/>
      <c r="O58" s="20">
        <f t="shared" si="17"/>
        <v>0</v>
      </c>
      <c r="P58" s="17">
        <f t="shared" si="15"/>
        <v>0</v>
      </c>
      <c r="Q58" s="13"/>
    </row>
    <row r="59" spans="1:16" ht="12.75">
      <c r="A59" s="31" t="s">
        <v>50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25"/>
      <c r="O59" s="20">
        <f>SUM(B59:M59)</f>
        <v>0</v>
      </c>
      <c r="P59" s="17">
        <f t="shared" si="15"/>
        <v>0</v>
      </c>
    </row>
    <row r="60" spans="1:16" ht="12.75">
      <c r="A60" s="31" t="s">
        <v>77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25"/>
      <c r="O60" s="20">
        <f>SUM(B60:M60)</f>
        <v>0</v>
      </c>
      <c r="P60" s="17">
        <f t="shared" si="15"/>
        <v>0</v>
      </c>
    </row>
    <row r="61" spans="1:16" ht="12.75">
      <c r="A61" s="32" t="s">
        <v>122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25"/>
      <c r="O61" s="20">
        <f>SUM(B61:M61)</f>
        <v>0</v>
      </c>
      <c r="P61" s="17">
        <f t="shared" si="15"/>
        <v>0</v>
      </c>
    </row>
    <row r="62" spans="1:16" ht="12.75">
      <c r="A62" s="31" t="s">
        <v>22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6"/>
      <c r="O62" s="20">
        <f aca="true" t="shared" si="18" ref="O62:O68">SUM(B62:M62)</f>
        <v>0</v>
      </c>
      <c r="P62" s="17">
        <f t="shared" si="15"/>
        <v>0</v>
      </c>
    </row>
    <row r="63" spans="1:17" ht="12.75">
      <c r="A63" s="31" t="s">
        <v>28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6"/>
      <c r="O63" s="20">
        <f t="shared" si="18"/>
        <v>0</v>
      </c>
      <c r="P63" s="17">
        <f t="shared" si="15"/>
        <v>0</v>
      </c>
      <c r="Q63" s="13"/>
    </row>
    <row r="64" spans="1:16" ht="12.75">
      <c r="A64" s="31" t="s">
        <v>17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20">
        <f t="shared" si="18"/>
        <v>0</v>
      </c>
      <c r="P64" s="17">
        <f t="shared" si="15"/>
        <v>0</v>
      </c>
    </row>
    <row r="65" spans="1:16" ht="12.75">
      <c r="A65" s="31" t="s">
        <v>62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6"/>
      <c r="O65" s="20">
        <f t="shared" si="18"/>
        <v>0</v>
      </c>
      <c r="P65" s="17">
        <f t="shared" si="15"/>
        <v>0</v>
      </c>
    </row>
    <row r="66" spans="1:16" ht="12.75">
      <c r="A66" s="31" t="s">
        <v>18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6"/>
      <c r="O66" s="20">
        <f t="shared" si="18"/>
        <v>0</v>
      </c>
      <c r="P66" s="17">
        <f t="shared" si="15"/>
        <v>0</v>
      </c>
    </row>
    <row r="67" spans="1:16" ht="12.75">
      <c r="A67" s="31" t="s">
        <v>64</v>
      </c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6"/>
      <c r="O67" s="20">
        <f t="shared" si="18"/>
        <v>0</v>
      </c>
      <c r="P67" s="17">
        <f t="shared" si="15"/>
        <v>0</v>
      </c>
    </row>
    <row r="68" spans="1:16" ht="12.75">
      <c r="A68" s="31" t="s">
        <v>120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6"/>
      <c r="O68" s="20">
        <f t="shared" si="18"/>
        <v>0</v>
      </c>
      <c r="P68" s="17">
        <f t="shared" si="15"/>
        <v>0</v>
      </c>
    </row>
    <row r="69" spans="1:16" ht="12.75">
      <c r="A69" s="31" t="s">
        <v>63</v>
      </c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6"/>
      <c r="O69" s="20">
        <f t="shared" si="17"/>
        <v>0</v>
      </c>
      <c r="P69" s="17">
        <f t="shared" si="15"/>
        <v>0</v>
      </c>
    </row>
    <row r="70" spans="1:16" ht="12.75">
      <c r="A70" s="31" t="s">
        <v>19</v>
      </c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6"/>
      <c r="O70" s="20">
        <f t="shared" si="17"/>
        <v>0</v>
      </c>
      <c r="P70" s="17">
        <f t="shared" si="15"/>
        <v>0</v>
      </c>
    </row>
    <row r="71" spans="1:16" ht="12.75">
      <c r="A71" s="31" t="s">
        <v>54</v>
      </c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6"/>
      <c r="O71" s="20">
        <f t="shared" si="17"/>
        <v>0</v>
      </c>
      <c r="P71" s="17">
        <f t="shared" si="15"/>
        <v>0</v>
      </c>
    </row>
    <row r="72" spans="1:16" ht="12.75">
      <c r="A72" s="31" t="s">
        <v>20</v>
      </c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6"/>
      <c r="O72" s="20">
        <f t="shared" si="17"/>
        <v>0</v>
      </c>
      <c r="P72" s="17">
        <f t="shared" si="15"/>
        <v>0</v>
      </c>
    </row>
    <row r="73" spans="1:16" ht="12.75">
      <c r="A73" s="31" t="s">
        <v>78</v>
      </c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6"/>
      <c r="O73" s="20">
        <f>SUM(B73:M73)</f>
        <v>0</v>
      </c>
      <c r="P73" s="17">
        <f t="shared" si="15"/>
        <v>0</v>
      </c>
    </row>
    <row r="74" spans="1:16" ht="12.75">
      <c r="A74" s="31" t="s">
        <v>49</v>
      </c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6"/>
      <c r="O74" s="20">
        <f t="shared" si="17"/>
        <v>0</v>
      </c>
      <c r="P74" s="17">
        <f t="shared" si="15"/>
        <v>0</v>
      </c>
    </row>
    <row r="75" spans="1:16" ht="12.75">
      <c r="A75" s="31" t="s">
        <v>41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6"/>
      <c r="O75" s="20">
        <f t="shared" si="17"/>
        <v>0</v>
      </c>
      <c r="P75" s="17">
        <f t="shared" si="15"/>
        <v>0</v>
      </c>
    </row>
    <row r="76" spans="1:16" ht="12.75">
      <c r="A76" s="31" t="s">
        <v>23</v>
      </c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6"/>
      <c r="O76" s="20">
        <f t="shared" si="17"/>
        <v>0</v>
      </c>
      <c r="P76" s="17">
        <f t="shared" si="15"/>
        <v>0</v>
      </c>
    </row>
    <row r="77" spans="1:17" ht="12.75">
      <c r="A77" s="31" t="s">
        <v>16</v>
      </c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6"/>
      <c r="O77" s="20">
        <f t="shared" si="17"/>
        <v>0</v>
      </c>
      <c r="P77" s="17">
        <f t="shared" si="15"/>
        <v>0</v>
      </c>
      <c r="Q77" s="13"/>
    </row>
    <row r="78" spans="1:16" ht="12.75">
      <c r="A78" s="31" t="s">
        <v>26</v>
      </c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6"/>
      <c r="O78" s="20">
        <f t="shared" si="17"/>
        <v>0</v>
      </c>
      <c r="P78" s="17">
        <f t="shared" si="15"/>
        <v>0</v>
      </c>
    </row>
    <row r="79" spans="1:16" ht="12.75">
      <c r="A79" s="31" t="s">
        <v>25</v>
      </c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6"/>
      <c r="O79" s="20">
        <f t="shared" si="17"/>
        <v>0</v>
      </c>
      <c r="P79" s="17">
        <f t="shared" si="15"/>
        <v>0</v>
      </c>
    </row>
    <row r="80" spans="1:16" ht="12.75">
      <c r="A80" s="31" t="s">
        <v>65</v>
      </c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6"/>
      <c r="O80" s="20">
        <f t="shared" si="17"/>
        <v>0</v>
      </c>
      <c r="P80" s="17">
        <f t="shared" si="15"/>
        <v>0</v>
      </c>
    </row>
    <row r="81" spans="1:16" ht="12.75">
      <c r="A81" s="31" t="s">
        <v>121</v>
      </c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6"/>
      <c r="O81" s="20">
        <f t="shared" si="17"/>
        <v>0</v>
      </c>
      <c r="P81" s="17">
        <f t="shared" si="15"/>
        <v>0</v>
      </c>
    </row>
    <row r="82" spans="1:16" ht="12.75">
      <c r="A82" s="31" t="s">
        <v>24</v>
      </c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25"/>
      <c r="O82" s="20">
        <f t="shared" si="17"/>
        <v>0</v>
      </c>
      <c r="P82" s="17">
        <f t="shared" si="15"/>
        <v>0</v>
      </c>
    </row>
    <row r="83" spans="1:16" ht="12.75">
      <c r="A83" s="1" t="s">
        <v>29</v>
      </c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20">
        <f t="shared" si="17"/>
        <v>0</v>
      </c>
      <c r="P83" s="17">
        <f t="shared" si="15"/>
        <v>0</v>
      </c>
    </row>
    <row r="84" spans="1:16" ht="13.5" thickBot="1">
      <c r="A84" s="43" t="s">
        <v>55</v>
      </c>
      <c r="B84" s="69">
        <f aca="true" t="shared" si="19" ref="B84:M84">SUM(B43:B83)</f>
        <v>16786.666666666668</v>
      </c>
      <c r="C84" s="69">
        <f t="shared" si="19"/>
        <v>16786.666666666668</v>
      </c>
      <c r="D84" s="69">
        <f t="shared" si="19"/>
        <v>16786.666666666668</v>
      </c>
      <c r="E84" s="69">
        <f t="shared" si="19"/>
        <v>16786.666666666668</v>
      </c>
      <c r="F84" s="69">
        <f t="shared" si="19"/>
        <v>16786.666666666668</v>
      </c>
      <c r="G84" s="69">
        <f t="shared" si="19"/>
        <v>16786.666666666668</v>
      </c>
      <c r="H84" s="69">
        <f t="shared" si="19"/>
        <v>16786.666666666668</v>
      </c>
      <c r="I84" s="69">
        <f t="shared" si="19"/>
        <v>16786.666666666668</v>
      </c>
      <c r="J84" s="69">
        <f t="shared" si="19"/>
        <v>16786.666666666668</v>
      </c>
      <c r="K84" s="69">
        <f t="shared" si="19"/>
        <v>16786.666666666668</v>
      </c>
      <c r="L84" s="69">
        <f t="shared" si="19"/>
        <v>16786.666666666668</v>
      </c>
      <c r="M84" s="69">
        <f t="shared" si="19"/>
        <v>16786.666666666668</v>
      </c>
      <c r="N84" s="70"/>
      <c r="O84" s="69">
        <f>SUM(O43:O83)</f>
        <v>201440</v>
      </c>
      <c r="P84" s="17">
        <f t="shared" si="15"/>
        <v>0.19719918093202438</v>
      </c>
    </row>
    <row r="85" spans="1:16" ht="13.5" thickTop="1">
      <c r="A85" s="13"/>
      <c r="B85" s="16"/>
      <c r="C85" s="16"/>
      <c r="D85" s="16"/>
      <c r="E85" s="16"/>
      <c r="F85" s="16"/>
      <c r="G85" s="16"/>
      <c r="H85" s="25"/>
      <c r="I85" s="16"/>
      <c r="J85" s="16"/>
      <c r="K85" s="16"/>
      <c r="L85" s="16"/>
      <c r="M85" s="16"/>
      <c r="N85" s="15"/>
      <c r="O85" s="15"/>
      <c r="P85" s="17"/>
    </row>
    <row r="86" spans="1:16" ht="13.5" thickBot="1">
      <c r="A86" s="44" t="s">
        <v>30</v>
      </c>
      <c r="B86" s="10">
        <f aca="true" t="shared" si="20" ref="B86:M86">B23-(B40+B84)</f>
        <v>12591.148660436134</v>
      </c>
      <c r="C86" s="10">
        <f t="shared" si="20"/>
        <v>12591.148660436134</v>
      </c>
      <c r="D86" s="10">
        <f t="shared" si="20"/>
        <v>14182.369710040733</v>
      </c>
      <c r="E86" s="10">
        <f t="shared" si="20"/>
        <v>22138.47495806374</v>
      </c>
      <c r="F86" s="10">
        <f t="shared" si="20"/>
        <v>32481.41178049363</v>
      </c>
      <c r="G86" s="10">
        <f t="shared" si="20"/>
        <v>36064.22558710759</v>
      </c>
      <c r="H86" s="10">
        <f t="shared" si="20"/>
        <v>36064.22558710759</v>
      </c>
      <c r="I86" s="10">
        <f t="shared" si="20"/>
        <v>41235.693998322546</v>
      </c>
      <c r="J86" s="10">
        <f t="shared" si="20"/>
        <v>28901.164418883276</v>
      </c>
      <c r="K86" s="10">
        <f t="shared" si="20"/>
        <v>34868.24335490055</v>
      </c>
      <c r="L86" s="10">
        <f t="shared" si="20"/>
        <v>14182.369710040733</v>
      </c>
      <c r="M86" s="10">
        <f t="shared" si="20"/>
        <v>7817.485511622326</v>
      </c>
      <c r="N86" s="11"/>
      <c r="O86" s="10">
        <f>O23-(O40+O84)</f>
        <v>293117.9619374549</v>
      </c>
      <c r="P86" s="17">
        <f>O86/$O$10</f>
        <v>0.28694709099747023</v>
      </c>
    </row>
    <row r="87" spans="1:16" ht="13.5" thickTop="1">
      <c r="A87" s="67" t="s">
        <v>95</v>
      </c>
      <c r="B87" s="68">
        <f aca="true" t="shared" si="21" ref="B87:M87">B86/B10</f>
        <v>0.2073334728634451</v>
      </c>
      <c r="C87" s="68">
        <f t="shared" si="21"/>
        <v>0.2073334728634451</v>
      </c>
      <c r="D87" s="68">
        <f t="shared" si="21"/>
        <v>0.22185870745239158</v>
      </c>
      <c r="E87" s="68">
        <f t="shared" si="21"/>
        <v>0.2770545988903883</v>
      </c>
      <c r="F87" s="68">
        <f t="shared" si="21"/>
        <v>0.32261311245825847</v>
      </c>
      <c r="G87" s="68">
        <f t="shared" si="21"/>
        <v>0.3267548051394681</v>
      </c>
      <c r="H87" s="68">
        <f t="shared" si="21"/>
        <v>0.3267548051394681</v>
      </c>
      <c r="I87" s="68">
        <f t="shared" si="21"/>
        <v>0.34147165326875045</v>
      </c>
      <c r="J87" s="68">
        <f t="shared" si="21"/>
        <v>0.30913426229024954</v>
      </c>
      <c r="K87" s="68">
        <f t="shared" si="21"/>
        <v>0.3305778875575367</v>
      </c>
      <c r="L87" s="68">
        <f t="shared" si="21"/>
        <v>0.22185870745239158</v>
      </c>
      <c r="M87" s="68">
        <f t="shared" si="21"/>
        <v>0.15286384315489565</v>
      </c>
      <c r="N87" s="1"/>
      <c r="O87" s="1"/>
      <c r="P87" s="17"/>
    </row>
    <row r="88" spans="1:16" ht="12.75">
      <c r="A88" s="13"/>
      <c r="B88" s="1"/>
      <c r="C88" s="16"/>
      <c r="D88" s="16"/>
      <c r="E88" s="16"/>
      <c r="F88" s="16"/>
      <c r="G88" s="16"/>
      <c r="H88" s="27"/>
      <c r="I88" s="16"/>
      <c r="J88" s="16"/>
      <c r="K88" s="16"/>
      <c r="L88" s="1"/>
      <c r="M88" s="1"/>
      <c r="N88" s="1"/>
      <c r="O88" s="1"/>
      <c r="P88" s="17"/>
    </row>
    <row r="89" spans="1:15" ht="15">
      <c r="A89" s="36" t="s">
        <v>43</v>
      </c>
      <c r="B89" s="3"/>
      <c r="C89" s="15"/>
      <c r="D89" s="15"/>
      <c r="E89" s="15"/>
      <c r="F89" s="15"/>
      <c r="G89" s="15"/>
      <c r="H89" s="28"/>
      <c r="I89" s="15"/>
      <c r="J89" s="15"/>
      <c r="K89" s="15"/>
      <c r="L89" s="3"/>
      <c r="M89" s="3"/>
      <c r="N89" s="3"/>
      <c r="O89" s="3"/>
    </row>
    <row r="90" spans="1:16" ht="12.75">
      <c r="A90" s="80" t="s">
        <v>123</v>
      </c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6"/>
      <c r="O90" s="20">
        <f aca="true" t="shared" si="22" ref="O90:O95">SUM(B90:M90)</f>
        <v>0</v>
      </c>
      <c r="P90" s="17">
        <f aca="true" t="shared" si="23" ref="P90:P96">O90/$O$10</f>
        <v>0</v>
      </c>
    </row>
    <row r="91" spans="1:16" ht="12.75">
      <c r="A91" s="29" t="s">
        <v>100</v>
      </c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20">
        <f t="shared" si="22"/>
        <v>0</v>
      </c>
      <c r="P91" s="17">
        <f t="shared" si="23"/>
        <v>0</v>
      </c>
    </row>
    <row r="92" spans="1:16" ht="12.75">
      <c r="A92" s="29" t="s">
        <v>53</v>
      </c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20">
        <f t="shared" si="22"/>
        <v>0</v>
      </c>
      <c r="P92" s="17">
        <f t="shared" si="23"/>
        <v>0</v>
      </c>
    </row>
    <row r="93" spans="1:16" ht="12.75">
      <c r="A93" s="20" t="s">
        <v>94</v>
      </c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20">
        <f t="shared" si="22"/>
        <v>0</v>
      </c>
      <c r="P93" s="17">
        <f t="shared" si="23"/>
        <v>0</v>
      </c>
    </row>
    <row r="94" spans="1:16" ht="12.75">
      <c r="A94" s="83" t="s">
        <v>124</v>
      </c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20">
        <f t="shared" si="22"/>
        <v>0</v>
      </c>
      <c r="P94" s="17">
        <f t="shared" si="23"/>
        <v>0</v>
      </c>
    </row>
    <row r="95" spans="1:16" ht="12.75">
      <c r="A95" s="83" t="s">
        <v>125</v>
      </c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5"/>
      <c r="O95" s="15">
        <f t="shared" si="22"/>
        <v>0</v>
      </c>
      <c r="P95" s="17">
        <f t="shared" si="23"/>
        <v>0</v>
      </c>
    </row>
    <row r="96" spans="1:16" ht="13.5" thickBot="1">
      <c r="A96" s="84" t="s">
        <v>126</v>
      </c>
      <c r="B96" s="14">
        <f aca="true" t="shared" si="24" ref="B96:M96">B86+SUM(B90:B95)</f>
        <v>12591.148660436134</v>
      </c>
      <c r="C96" s="14">
        <f t="shared" si="24"/>
        <v>12591.148660436134</v>
      </c>
      <c r="D96" s="14">
        <f t="shared" si="24"/>
        <v>14182.369710040733</v>
      </c>
      <c r="E96" s="14">
        <f t="shared" si="24"/>
        <v>22138.47495806374</v>
      </c>
      <c r="F96" s="14">
        <f t="shared" si="24"/>
        <v>32481.41178049363</v>
      </c>
      <c r="G96" s="14">
        <f t="shared" si="24"/>
        <v>36064.22558710759</v>
      </c>
      <c r="H96" s="14">
        <f t="shared" si="24"/>
        <v>36064.22558710759</v>
      </c>
      <c r="I96" s="14">
        <f t="shared" si="24"/>
        <v>41235.693998322546</v>
      </c>
      <c r="J96" s="14">
        <f t="shared" si="24"/>
        <v>28901.164418883276</v>
      </c>
      <c r="K96" s="14">
        <f t="shared" si="24"/>
        <v>34868.24335490055</v>
      </c>
      <c r="L96" s="14">
        <f t="shared" si="24"/>
        <v>14182.369710040733</v>
      </c>
      <c r="M96" s="14">
        <f t="shared" si="24"/>
        <v>7817.485511622326</v>
      </c>
      <c r="N96" s="14"/>
      <c r="O96" s="14">
        <f>O86+SUM(O90:O95)</f>
        <v>293117.9619374549</v>
      </c>
      <c r="P96" s="17">
        <f t="shared" si="23"/>
        <v>0.28694709099747023</v>
      </c>
    </row>
    <row r="97" ht="13.5" thickTop="1"/>
    <row r="98" ht="12.75">
      <c r="G98" s="4"/>
    </row>
    <row r="99" ht="12.75">
      <c r="G99" s="4"/>
    </row>
    <row r="100" ht="12.75">
      <c r="G100" s="4"/>
    </row>
    <row r="101" ht="12.75">
      <c r="G101" s="4"/>
    </row>
    <row r="102" ht="12.75">
      <c r="G102" s="4"/>
    </row>
    <row r="103" ht="12.75">
      <c r="G103" s="4"/>
    </row>
    <row r="104" ht="12.75">
      <c r="G104" s="4"/>
    </row>
    <row r="105" ht="12.75">
      <c r="G105" s="4"/>
    </row>
    <row r="106" ht="12.75">
      <c r="G106" s="4"/>
    </row>
    <row r="107" ht="12.75">
      <c r="G107" s="4"/>
    </row>
    <row r="108" ht="12.75">
      <c r="G108" s="4"/>
    </row>
    <row r="109" ht="12.75">
      <c r="G109" s="4"/>
    </row>
    <row r="110" ht="12.75">
      <c r="G110" s="4"/>
    </row>
    <row r="111" ht="12.75">
      <c r="G111" s="4"/>
    </row>
    <row r="112" ht="12.75">
      <c r="G112" s="4"/>
    </row>
    <row r="113" ht="12.75">
      <c r="G113" s="4"/>
    </row>
    <row r="114" ht="12.75">
      <c r="G114" s="4"/>
    </row>
    <row r="115" ht="12.75">
      <c r="G115" s="4"/>
    </row>
    <row r="116" ht="12.75">
      <c r="G116" s="4"/>
    </row>
    <row r="117" ht="12.75">
      <c r="G117" s="4"/>
    </row>
    <row r="118" ht="12.75">
      <c r="G118" s="4"/>
    </row>
    <row r="119" ht="12.75">
      <c r="G119" s="4"/>
    </row>
  </sheetData>
  <mergeCells count="3">
    <mergeCell ref="A1:P1"/>
    <mergeCell ref="A2:P2"/>
    <mergeCell ref="R6:T16"/>
  </mergeCells>
  <printOptions horizontalCentered="1"/>
  <pageMargins left="0.25" right="0.25" top="0.25" bottom="0.25" header="0.25" footer="0.15"/>
  <pageSetup fitToHeight="1" fitToWidth="1" horizontalDpi="600" verticalDpi="600" orientation="portrait" scale="62" r:id="rId3"/>
  <headerFooter alignWithMargins="0">
    <oddFooter>&amp;L&amp;8Advisors On Target 2006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O38"/>
  <sheetViews>
    <sheetView workbookViewId="0" topLeftCell="A1">
      <selection activeCell="C9" sqref="C9"/>
    </sheetView>
  </sheetViews>
  <sheetFormatPr defaultColWidth="9.140625" defaultRowHeight="12.75"/>
  <cols>
    <col min="1" max="1" width="40.00390625" style="0" customWidth="1"/>
    <col min="2" max="2" width="7.7109375" style="0" bestFit="1" customWidth="1"/>
    <col min="4" max="5" width="8.7109375" style="0" bestFit="1" customWidth="1"/>
    <col min="6" max="6" width="9.7109375" style="0" bestFit="1" customWidth="1"/>
    <col min="8" max="8" width="9.421875" style="0" bestFit="1" customWidth="1"/>
    <col min="10" max="11" width="9.421875" style="0" bestFit="1" customWidth="1"/>
    <col min="12" max="12" width="8.421875" style="0" bestFit="1" customWidth="1"/>
    <col min="13" max="14" width="9.00390625" style="0" bestFit="1" customWidth="1"/>
    <col min="15" max="15" width="10.140625" style="0" bestFit="1" customWidth="1"/>
  </cols>
  <sheetData>
    <row r="1" spans="1:15" ht="12.75">
      <c r="A1" s="79" t="s">
        <v>113</v>
      </c>
      <c r="B1" s="79"/>
      <c r="C1" s="6" t="s">
        <v>1</v>
      </c>
      <c r="D1" s="6" t="s">
        <v>2</v>
      </c>
      <c r="E1" s="6" t="s">
        <v>3</v>
      </c>
      <c r="F1" s="6" t="s">
        <v>4</v>
      </c>
      <c r="G1" s="6" t="s">
        <v>68</v>
      </c>
      <c r="H1" s="6" t="s">
        <v>69</v>
      </c>
      <c r="I1" s="6" t="s">
        <v>5</v>
      </c>
      <c r="J1" s="6" t="s">
        <v>6</v>
      </c>
      <c r="K1" s="6" t="s">
        <v>7</v>
      </c>
      <c r="L1" s="6" t="s">
        <v>8</v>
      </c>
      <c r="M1" s="6" t="s">
        <v>9</v>
      </c>
      <c r="N1" s="6" t="s">
        <v>0</v>
      </c>
      <c r="O1" s="6" t="s">
        <v>70</v>
      </c>
    </row>
    <row r="2" spans="1:15" ht="12.75">
      <c r="A2" s="48" t="s">
        <v>103</v>
      </c>
      <c r="B2" s="48"/>
      <c r="C2" s="48">
        <v>22</v>
      </c>
      <c r="D2" s="48">
        <v>21</v>
      </c>
      <c r="E2" s="48">
        <v>22</v>
      </c>
      <c r="F2" s="48">
        <v>21</v>
      </c>
      <c r="G2" s="48">
        <v>23</v>
      </c>
      <c r="H2" s="48">
        <v>21</v>
      </c>
      <c r="I2" s="48">
        <v>22</v>
      </c>
      <c r="J2" s="48">
        <v>23</v>
      </c>
      <c r="K2" s="48">
        <v>20</v>
      </c>
      <c r="L2" s="48">
        <v>23</v>
      </c>
      <c r="M2" s="48">
        <v>22</v>
      </c>
      <c r="N2" s="48">
        <v>21</v>
      </c>
      <c r="O2" s="48">
        <f>+SUM(C2:N2)</f>
        <v>261</v>
      </c>
    </row>
    <row r="3" spans="1:15" ht="12.75">
      <c r="A3" s="48" t="s">
        <v>104</v>
      </c>
      <c r="B3" s="48"/>
      <c r="C3" s="81">
        <v>3</v>
      </c>
      <c r="D3" s="81">
        <v>2</v>
      </c>
      <c r="E3" s="81">
        <v>2</v>
      </c>
      <c r="F3" s="81">
        <v>1</v>
      </c>
      <c r="G3" s="81">
        <v>2</v>
      </c>
      <c r="H3" s="81">
        <v>1</v>
      </c>
      <c r="I3" s="81">
        <v>2</v>
      </c>
      <c r="J3" s="81">
        <v>1</v>
      </c>
      <c r="K3" s="81">
        <v>2</v>
      </c>
      <c r="L3" s="81">
        <v>1</v>
      </c>
      <c r="M3" s="81">
        <v>2</v>
      </c>
      <c r="N3" s="81">
        <v>5</v>
      </c>
      <c r="O3" s="48">
        <f>+SUM(C3:N3)</f>
        <v>24</v>
      </c>
    </row>
    <row r="4" spans="1:15" ht="12.75">
      <c r="A4" s="48" t="s">
        <v>115</v>
      </c>
      <c r="B4" s="48"/>
      <c r="C4" s="48">
        <f>(C2-C3)*8</f>
        <v>152</v>
      </c>
      <c r="D4" s="48">
        <f aca="true" t="shared" si="0" ref="D4:N4">(D2-D3)*8</f>
        <v>152</v>
      </c>
      <c r="E4" s="48">
        <f t="shared" si="0"/>
        <v>160</v>
      </c>
      <c r="F4" s="48">
        <f t="shared" si="0"/>
        <v>160</v>
      </c>
      <c r="G4" s="48">
        <f t="shared" si="0"/>
        <v>168</v>
      </c>
      <c r="H4" s="48">
        <f t="shared" si="0"/>
        <v>160</v>
      </c>
      <c r="I4" s="48">
        <f t="shared" si="0"/>
        <v>160</v>
      </c>
      <c r="J4" s="48">
        <f t="shared" si="0"/>
        <v>176</v>
      </c>
      <c r="K4" s="48">
        <f t="shared" si="0"/>
        <v>144</v>
      </c>
      <c r="L4" s="48">
        <f t="shared" si="0"/>
        <v>176</v>
      </c>
      <c r="M4" s="48">
        <f t="shared" si="0"/>
        <v>160</v>
      </c>
      <c r="N4" s="48">
        <f t="shared" si="0"/>
        <v>128</v>
      </c>
      <c r="O4" s="48">
        <f>+SUM(C4:N4)</f>
        <v>1896</v>
      </c>
    </row>
    <row r="5" spans="1:15" ht="12.75">
      <c r="A5" s="48" t="s">
        <v>105</v>
      </c>
      <c r="B5" s="48"/>
      <c r="C5" s="81">
        <v>0</v>
      </c>
      <c r="D5" s="81">
        <v>0</v>
      </c>
      <c r="E5" s="81">
        <v>0</v>
      </c>
      <c r="F5" s="81">
        <v>0</v>
      </c>
      <c r="G5" s="81">
        <v>0</v>
      </c>
      <c r="H5" s="81">
        <v>10</v>
      </c>
      <c r="I5" s="81">
        <v>10</v>
      </c>
      <c r="J5" s="81">
        <v>10</v>
      </c>
      <c r="K5" s="81"/>
      <c r="L5" s="81"/>
      <c r="M5" s="81"/>
      <c r="N5" s="81"/>
      <c r="O5" s="48">
        <f>+SUM(C5:N5)</f>
        <v>30</v>
      </c>
    </row>
    <row r="6" spans="1:15" ht="12.75">
      <c r="A6" s="48" t="s">
        <v>116</v>
      </c>
      <c r="B6" s="76">
        <v>0.95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spans="1:15" ht="12.75">
      <c r="A7" s="77" t="s">
        <v>110</v>
      </c>
      <c r="B7" s="77"/>
      <c r="C7" s="48">
        <f>+SUM(C4+C5)*$B$6</f>
        <v>144.4</v>
      </c>
      <c r="D7" s="48">
        <f aca="true" t="shared" si="1" ref="D7:N7">+SUM(D4+D5)*$B$6</f>
        <v>144.4</v>
      </c>
      <c r="E7" s="48">
        <f t="shared" si="1"/>
        <v>152</v>
      </c>
      <c r="F7" s="48">
        <f t="shared" si="1"/>
        <v>152</v>
      </c>
      <c r="G7" s="48">
        <f t="shared" si="1"/>
        <v>159.6</v>
      </c>
      <c r="H7" s="48">
        <f t="shared" si="1"/>
        <v>161.5</v>
      </c>
      <c r="I7" s="48">
        <f t="shared" si="1"/>
        <v>161.5</v>
      </c>
      <c r="J7" s="48">
        <f t="shared" si="1"/>
        <v>176.7</v>
      </c>
      <c r="K7" s="48">
        <f t="shared" si="1"/>
        <v>136.79999999999998</v>
      </c>
      <c r="L7" s="48">
        <f t="shared" si="1"/>
        <v>167.2</v>
      </c>
      <c r="M7" s="48">
        <f t="shared" si="1"/>
        <v>152</v>
      </c>
      <c r="N7" s="48">
        <f t="shared" si="1"/>
        <v>121.6</v>
      </c>
      <c r="O7" s="48">
        <f>+SUM(C7:N7)</f>
        <v>1829.7</v>
      </c>
    </row>
    <row r="8" spans="1:15" ht="12.75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</row>
    <row r="9" spans="1:15" ht="12.75">
      <c r="A9" s="77" t="s">
        <v>111</v>
      </c>
      <c r="B9" s="77"/>
      <c r="C9" s="81">
        <v>8</v>
      </c>
      <c r="D9" s="81">
        <v>8</v>
      </c>
      <c r="E9" s="81">
        <v>8</v>
      </c>
      <c r="F9" s="81">
        <v>10</v>
      </c>
      <c r="G9" s="81">
        <v>12</v>
      </c>
      <c r="H9" s="81">
        <v>13</v>
      </c>
      <c r="I9" s="81">
        <v>13</v>
      </c>
      <c r="J9" s="81">
        <v>13</v>
      </c>
      <c r="K9" s="81">
        <v>13</v>
      </c>
      <c r="L9" s="81">
        <v>12</v>
      </c>
      <c r="M9" s="81">
        <v>8</v>
      </c>
      <c r="N9" s="81">
        <v>8</v>
      </c>
      <c r="O9" s="82">
        <f>AVERAGE(C9:N9)</f>
        <v>10.5</v>
      </c>
    </row>
    <row r="10" spans="1:15" ht="12.75">
      <c r="A10" s="48" t="s">
        <v>112</v>
      </c>
      <c r="B10" s="48"/>
      <c r="C10" s="48">
        <f>+C7*C9</f>
        <v>1155.2</v>
      </c>
      <c r="D10" s="48">
        <f aca="true" t="shared" si="2" ref="D10:N10">+D7*D9</f>
        <v>1155.2</v>
      </c>
      <c r="E10" s="48">
        <f t="shared" si="2"/>
        <v>1216</v>
      </c>
      <c r="F10" s="48">
        <f t="shared" si="2"/>
        <v>1520</v>
      </c>
      <c r="G10" s="48">
        <f t="shared" si="2"/>
        <v>1915.1999999999998</v>
      </c>
      <c r="H10" s="48">
        <f t="shared" si="2"/>
        <v>2099.5</v>
      </c>
      <c r="I10" s="48">
        <f t="shared" si="2"/>
        <v>2099.5</v>
      </c>
      <c r="J10" s="48">
        <f t="shared" si="2"/>
        <v>2297.1</v>
      </c>
      <c r="K10" s="48">
        <f t="shared" si="2"/>
        <v>1778.3999999999999</v>
      </c>
      <c r="L10" s="48">
        <f t="shared" si="2"/>
        <v>2006.3999999999999</v>
      </c>
      <c r="M10" s="48">
        <f t="shared" si="2"/>
        <v>1216</v>
      </c>
      <c r="N10" s="48">
        <f t="shared" si="2"/>
        <v>972.8</v>
      </c>
      <c r="O10" s="48">
        <f>+SUM(C10:N10)</f>
        <v>19431.3</v>
      </c>
    </row>
    <row r="11" spans="1:15" ht="12.75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</row>
    <row r="12" spans="1:15" ht="13.5" thickBot="1">
      <c r="A12" s="65" t="s">
        <v>85</v>
      </c>
      <c r="B12" s="65"/>
      <c r="C12" s="59">
        <v>45</v>
      </c>
      <c r="D12" s="59">
        <v>45</v>
      </c>
      <c r="E12" s="59">
        <v>45</v>
      </c>
      <c r="F12" s="59">
        <v>45</v>
      </c>
      <c r="G12" s="59">
        <v>45</v>
      </c>
      <c r="H12" s="59">
        <v>45</v>
      </c>
      <c r="I12" s="59">
        <v>45</v>
      </c>
      <c r="J12" s="59">
        <v>45</v>
      </c>
      <c r="K12" s="59">
        <v>45</v>
      </c>
      <c r="L12" s="59">
        <v>45</v>
      </c>
      <c r="M12" s="59">
        <v>45</v>
      </c>
      <c r="N12" s="59">
        <v>45</v>
      </c>
      <c r="O12" s="48"/>
    </row>
    <row r="13" spans="1:15" ht="13.5" thickBot="1">
      <c r="A13" s="102" t="s">
        <v>139</v>
      </c>
      <c r="B13" s="111">
        <f>+C25</f>
        <v>0.144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48"/>
    </row>
    <row r="14" spans="1:15" ht="12.75">
      <c r="A14" s="47" t="s">
        <v>133</v>
      </c>
      <c r="C14" s="87">
        <f>+C12/(1-$B$13)</f>
        <v>52.570093457943926</v>
      </c>
      <c r="D14" s="87">
        <f aca="true" t="shared" si="3" ref="D14:N14">+D12/(1-$B$13)</f>
        <v>52.570093457943926</v>
      </c>
      <c r="E14" s="87">
        <f t="shared" si="3"/>
        <v>52.570093457943926</v>
      </c>
      <c r="F14" s="87">
        <f t="shared" si="3"/>
        <v>52.570093457943926</v>
      </c>
      <c r="G14" s="87">
        <f t="shared" si="3"/>
        <v>52.570093457943926</v>
      </c>
      <c r="H14" s="87">
        <f t="shared" si="3"/>
        <v>52.570093457943926</v>
      </c>
      <c r="I14" s="87">
        <f t="shared" si="3"/>
        <v>52.570093457943926</v>
      </c>
      <c r="J14" s="87">
        <f t="shared" si="3"/>
        <v>52.570093457943926</v>
      </c>
      <c r="K14" s="87">
        <f t="shared" si="3"/>
        <v>52.570093457943926</v>
      </c>
      <c r="L14" s="87">
        <f t="shared" si="3"/>
        <v>52.570093457943926</v>
      </c>
      <c r="M14" s="87">
        <f t="shared" si="3"/>
        <v>52.570093457943926</v>
      </c>
      <c r="N14" s="87">
        <f t="shared" si="3"/>
        <v>52.570093457943926</v>
      </c>
      <c r="O14" s="48"/>
    </row>
    <row r="15" spans="1:15" ht="12.75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</row>
    <row r="16" spans="1:15" ht="13.5" thickBot="1">
      <c r="A16" s="48" t="s">
        <v>109</v>
      </c>
      <c r="B16" s="48"/>
      <c r="C16" s="88">
        <f aca="true" t="shared" si="4" ref="C16:N16">+C10*$C$14</f>
        <v>60728.97196261682</v>
      </c>
      <c r="D16" s="88">
        <f t="shared" si="4"/>
        <v>60728.97196261682</v>
      </c>
      <c r="E16" s="88">
        <f t="shared" si="4"/>
        <v>63925.233644859814</v>
      </c>
      <c r="F16" s="88">
        <f t="shared" si="4"/>
        <v>79906.54205607477</v>
      </c>
      <c r="G16" s="88">
        <f t="shared" si="4"/>
        <v>100682.2429906542</v>
      </c>
      <c r="H16" s="88">
        <f t="shared" si="4"/>
        <v>110370.91121495327</v>
      </c>
      <c r="I16" s="88">
        <f t="shared" si="4"/>
        <v>110370.91121495327</v>
      </c>
      <c r="J16" s="88">
        <f t="shared" si="4"/>
        <v>120758.76168224298</v>
      </c>
      <c r="K16" s="88">
        <f t="shared" si="4"/>
        <v>93490.65420560747</v>
      </c>
      <c r="L16" s="88">
        <f t="shared" si="4"/>
        <v>105476.6355140187</v>
      </c>
      <c r="M16" s="88">
        <f t="shared" si="4"/>
        <v>63925.233644859814</v>
      </c>
      <c r="N16" s="88">
        <f t="shared" si="4"/>
        <v>51140.18691588785</v>
      </c>
      <c r="O16" s="88">
        <f>+SUM(C16:N16)</f>
        <v>1021505.2570093459</v>
      </c>
    </row>
    <row r="17" spans="1:15" ht="14.25" thickBot="1" thickTop="1">
      <c r="A17" s="48"/>
      <c r="B17" s="48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48"/>
    </row>
    <row r="18" spans="1:15" ht="13.5" thickBot="1">
      <c r="A18" s="48" t="s">
        <v>118</v>
      </c>
      <c r="B18" s="89">
        <f>+Personnel!D51</f>
        <v>16.03846153846154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48"/>
    </row>
    <row r="19" spans="1:15" ht="12.75">
      <c r="A19" s="48"/>
      <c r="B19" s="48"/>
      <c r="O19" s="48"/>
    </row>
    <row r="20" spans="1:15" ht="12.75">
      <c r="A20" s="48" t="s">
        <v>130</v>
      </c>
      <c r="B20" s="48"/>
      <c r="C20" s="54">
        <f>+$B$18*(C4*C9)</f>
        <v>19502.769230769234</v>
      </c>
      <c r="D20" s="54">
        <f aca="true" t="shared" si="5" ref="D20:N20">+$B$18*(D4*D9)</f>
        <v>19502.769230769234</v>
      </c>
      <c r="E20" s="54">
        <f t="shared" si="5"/>
        <v>20529.230769230773</v>
      </c>
      <c r="F20" s="54">
        <f t="shared" si="5"/>
        <v>25661.538461538465</v>
      </c>
      <c r="G20" s="54">
        <f t="shared" si="5"/>
        <v>32333.538461538465</v>
      </c>
      <c r="H20" s="54">
        <f t="shared" si="5"/>
        <v>33360</v>
      </c>
      <c r="I20" s="54">
        <f t="shared" si="5"/>
        <v>33360</v>
      </c>
      <c r="J20" s="54">
        <f t="shared" si="5"/>
        <v>36696.00000000001</v>
      </c>
      <c r="K20" s="54">
        <f t="shared" si="5"/>
        <v>30024.000000000004</v>
      </c>
      <c r="L20" s="54">
        <f t="shared" si="5"/>
        <v>33873.23076923077</v>
      </c>
      <c r="M20" s="54">
        <f t="shared" si="5"/>
        <v>20529.230769230773</v>
      </c>
      <c r="N20" s="54">
        <f t="shared" si="5"/>
        <v>16423.384615384617</v>
      </c>
      <c r="O20" s="48">
        <f>+SUM(C20:N20)</f>
        <v>321795.6923076923</v>
      </c>
    </row>
    <row r="21" spans="1:15" ht="12.75">
      <c r="A21" s="48" t="s">
        <v>119</v>
      </c>
      <c r="B21" s="48"/>
      <c r="C21" s="54">
        <f>+($B$18*1.5)*(C5*C9)</f>
        <v>0</v>
      </c>
      <c r="D21" s="54">
        <f aca="true" t="shared" si="6" ref="D21:N21">+($B$18*1.5)*(D5*D9)</f>
        <v>0</v>
      </c>
      <c r="E21" s="54">
        <f t="shared" si="6"/>
        <v>0</v>
      </c>
      <c r="F21" s="54">
        <f t="shared" si="6"/>
        <v>0</v>
      </c>
      <c r="G21" s="54">
        <f t="shared" si="6"/>
        <v>0</v>
      </c>
      <c r="H21" s="54">
        <f t="shared" si="6"/>
        <v>3127.5000000000005</v>
      </c>
      <c r="I21" s="54">
        <f t="shared" si="6"/>
        <v>3127.5000000000005</v>
      </c>
      <c r="J21" s="54">
        <f t="shared" si="6"/>
        <v>3127.5000000000005</v>
      </c>
      <c r="K21" s="54">
        <f t="shared" si="6"/>
        <v>0</v>
      </c>
      <c r="L21" s="54">
        <f t="shared" si="6"/>
        <v>0</v>
      </c>
      <c r="M21" s="54">
        <f t="shared" si="6"/>
        <v>0</v>
      </c>
      <c r="N21" s="54">
        <f t="shared" si="6"/>
        <v>0</v>
      </c>
      <c r="O21" s="48">
        <f>+SUM(C21:N21)</f>
        <v>9382.500000000002</v>
      </c>
    </row>
    <row r="22" spans="1:15" ht="12.7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</row>
    <row r="23" spans="1:15" ht="12.75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</row>
    <row r="24" spans="1:15" ht="12.75">
      <c r="A24" s="64" t="s">
        <v>96</v>
      </c>
      <c r="B24" s="64"/>
      <c r="C24" s="66">
        <v>0.12</v>
      </c>
      <c r="D24" s="64"/>
      <c r="E24" s="64"/>
      <c r="F24" s="46"/>
      <c r="G24" s="48"/>
      <c r="H24" s="48"/>
      <c r="I24" s="48"/>
      <c r="J24" s="48"/>
      <c r="K24" s="48"/>
      <c r="L24" s="48"/>
      <c r="M24" s="48"/>
      <c r="N24" s="48"/>
      <c r="O24" s="48"/>
    </row>
    <row r="25" spans="1:15" ht="12.75">
      <c r="A25" t="s">
        <v>149</v>
      </c>
      <c r="B25" s="95">
        <v>0.2</v>
      </c>
      <c r="C25" s="110">
        <f>C24*B25+C24</f>
        <v>0.144</v>
      </c>
      <c r="D25" s="64"/>
      <c r="E25" s="64"/>
      <c r="F25" s="46"/>
      <c r="G25" s="48"/>
      <c r="H25" s="48"/>
      <c r="I25" s="48"/>
      <c r="J25" s="48"/>
      <c r="K25" s="48"/>
      <c r="L25" s="48"/>
      <c r="M25" s="48"/>
      <c r="N25" s="48"/>
      <c r="O25" s="48"/>
    </row>
    <row r="26" spans="1:15" ht="12.75">
      <c r="A26" s="78" t="s">
        <v>87</v>
      </c>
      <c r="B26" s="78"/>
      <c r="C26" s="66">
        <v>0.08</v>
      </c>
      <c r="D26" s="64"/>
      <c r="E26" s="64"/>
      <c r="F26" s="46"/>
      <c r="G26" s="48"/>
      <c r="H26" s="48"/>
      <c r="I26" s="48"/>
      <c r="J26" s="48"/>
      <c r="K26" s="48"/>
      <c r="L26" s="48"/>
      <c r="M26" s="48"/>
      <c r="N26" s="48"/>
      <c r="O26" s="48"/>
    </row>
    <row r="27" spans="1:15" ht="12.75">
      <c r="A27" s="64" t="s">
        <v>88</v>
      </c>
      <c r="B27" s="64"/>
      <c r="C27" s="72">
        <v>0.005</v>
      </c>
      <c r="D27" s="64"/>
      <c r="E27" s="64"/>
      <c r="F27" s="46"/>
      <c r="G27" s="48"/>
      <c r="H27" s="48"/>
      <c r="I27" s="48"/>
      <c r="J27" s="48"/>
      <c r="K27" s="48"/>
      <c r="L27" s="48"/>
      <c r="M27" s="48"/>
      <c r="N27" s="48"/>
      <c r="O27" s="48"/>
    </row>
    <row r="28" spans="1:15" ht="12.75">
      <c r="A28" s="77" t="s">
        <v>131</v>
      </c>
      <c r="B28" s="48"/>
      <c r="C28" s="72">
        <v>0.11</v>
      </c>
      <c r="D28" s="48"/>
      <c r="E28" s="48"/>
      <c r="F28" s="46"/>
      <c r="G28" s="48"/>
      <c r="H28" s="48"/>
      <c r="I28" s="48"/>
      <c r="J28" s="48"/>
      <c r="K28" s="48"/>
      <c r="L28" s="48"/>
      <c r="M28" s="48"/>
      <c r="N28" s="48"/>
      <c r="O28" s="48"/>
    </row>
    <row r="29" spans="1:15" ht="12.75">
      <c r="A29" s="77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</row>
    <row r="30" spans="1:15" ht="12.7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</row>
    <row r="31" spans="1:15" ht="12.75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</row>
    <row r="32" spans="1:15" ht="12.7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</row>
    <row r="33" spans="1:3" ht="12.75">
      <c r="A33" s="90" t="s">
        <v>132</v>
      </c>
      <c r="B33" s="91"/>
      <c r="C33" s="91"/>
    </row>
    <row r="34" spans="1:3" ht="12.75" customHeight="1">
      <c r="A34" s="107" t="s">
        <v>134</v>
      </c>
      <c r="B34" s="107"/>
      <c r="C34" s="107"/>
    </row>
    <row r="35" spans="1:3" ht="12.75">
      <c r="A35" s="107"/>
      <c r="B35" s="107"/>
      <c r="C35" s="107"/>
    </row>
    <row r="36" spans="1:3" ht="12.75">
      <c r="A36" s="107"/>
      <c r="B36" s="107"/>
      <c r="C36" s="107"/>
    </row>
    <row r="37" spans="1:3" ht="12.75">
      <c r="A37" s="107"/>
      <c r="B37" s="107"/>
      <c r="C37" s="107"/>
    </row>
    <row r="38" spans="1:3" ht="12.75">
      <c r="A38" s="107"/>
      <c r="B38" s="107"/>
      <c r="C38" s="107"/>
    </row>
  </sheetData>
  <mergeCells count="1">
    <mergeCell ref="A34:C38"/>
  </mergeCells>
  <printOptions/>
  <pageMargins left="0.25" right="0.25" top="1" bottom="1" header="0.5" footer="0.5"/>
  <pageSetup horizontalDpi="600" verticalDpi="600" orientation="landscape" scale="82" r:id="rId3"/>
  <headerFooter alignWithMargins="0">
    <oddHeader xml:space="preserve">&amp;CBasic Budget Template Assumptions </oddHeader>
    <oddFooter>&amp;L&amp;8Advisors On Target 2008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U56"/>
  <sheetViews>
    <sheetView workbookViewId="0" topLeftCell="A1">
      <pane xSplit="2" ySplit="1" topLeftCell="C2" activePane="bottomRight" state="frozen"/>
      <selection pane="topLeft" activeCell="C30" sqref="C30"/>
      <selection pane="topRight" activeCell="C30" sqref="C30"/>
      <selection pane="bottomLeft" activeCell="C30" sqref="C30"/>
      <selection pane="bottomRight" activeCell="D3" sqref="D3"/>
    </sheetView>
  </sheetViews>
  <sheetFormatPr defaultColWidth="9.140625" defaultRowHeight="12.75"/>
  <cols>
    <col min="1" max="1" width="3.00390625" style="46" bestFit="1" customWidth="1"/>
    <col min="2" max="2" width="19.00390625" style="46" customWidth="1"/>
    <col min="3" max="3" width="3.00390625" style="46" customWidth="1"/>
    <col min="4" max="4" width="11.8515625" style="46" bestFit="1" customWidth="1"/>
    <col min="5" max="5" width="3.00390625" style="46" customWidth="1"/>
    <col min="6" max="6" width="8.28125" style="46" bestFit="1" customWidth="1"/>
    <col min="7" max="7" width="3.00390625" style="46" customWidth="1"/>
    <col min="8" max="8" width="35.57421875" style="46" bestFit="1" customWidth="1"/>
    <col min="9" max="13" width="10.28125" style="46" customWidth="1"/>
    <col min="14" max="16" width="11.28125" style="46" bestFit="1" customWidth="1"/>
    <col min="17" max="16384" width="10.28125" style="46" customWidth="1"/>
  </cols>
  <sheetData>
    <row r="1" spans="1:10" ht="12.75">
      <c r="A1" s="101"/>
      <c r="B1" s="101"/>
      <c r="C1" s="97"/>
      <c r="D1" s="98"/>
      <c r="E1" s="99"/>
      <c r="F1" s="100"/>
      <c r="G1" s="97"/>
      <c r="H1" s="100"/>
      <c r="I1" s="100"/>
      <c r="J1" s="100"/>
    </row>
    <row r="2" spans="1:10" ht="12.75">
      <c r="A2" s="47"/>
      <c r="B2" s="92" t="s">
        <v>107</v>
      </c>
      <c r="C2" s="48"/>
      <c r="D2" s="93">
        <v>2012</v>
      </c>
      <c r="E2" s="49"/>
      <c r="F2" s="45" t="s">
        <v>72</v>
      </c>
      <c r="G2" s="48"/>
      <c r="H2" s="90" t="s">
        <v>132</v>
      </c>
      <c r="I2" s="91"/>
      <c r="J2" s="91"/>
    </row>
    <row r="3" spans="3:10" ht="12.75">
      <c r="C3" s="48"/>
      <c r="D3" s="50"/>
      <c r="E3" s="48"/>
      <c r="F3" s="48"/>
      <c r="G3" s="48"/>
      <c r="H3" s="107" t="s">
        <v>135</v>
      </c>
      <c r="I3" s="107"/>
      <c r="J3" s="107"/>
    </row>
    <row r="4" spans="3:10" ht="12.75">
      <c r="C4" s="48"/>
      <c r="D4" s="50"/>
      <c r="E4" s="48"/>
      <c r="F4" s="48"/>
      <c r="G4" s="48"/>
      <c r="H4" s="107"/>
      <c r="I4" s="107"/>
      <c r="J4" s="107"/>
    </row>
    <row r="5" spans="3:10" ht="12.75">
      <c r="C5" s="48"/>
      <c r="D5" s="50"/>
      <c r="E5" s="48"/>
      <c r="F5" s="48"/>
      <c r="G5" s="48"/>
      <c r="H5" s="107"/>
      <c r="I5" s="107"/>
      <c r="J5" s="107"/>
    </row>
    <row r="6" spans="1:10" ht="12.75">
      <c r="A6" s="109" t="s">
        <v>73</v>
      </c>
      <c r="B6" s="109"/>
      <c r="C6" s="48"/>
      <c r="D6" s="50" t="s">
        <v>106</v>
      </c>
      <c r="E6" s="48"/>
      <c r="F6" s="48"/>
      <c r="G6" s="48"/>
      <c r="H6" s="107"/>
      <c r="I6" s="107"/>
      <c r="J6" s="107"/>
    </row>
    <row r="7" spans="1:10" ht="12.75">
      <c r="A7" s="47"/>
      <c r="B7" s="85" t="s">
        <v>128</v>
      </c>
      <c r="C7" s="48"/>
      <c r="D7" s="71">
        <v>100000</v>
      </c>
      <c r="E7" s="54"/>
      <c r="F7" s="53">
        <v>0</v>
      </c>
      <c r="G7" s="48"/>
      <c r="H7" s="107"/>
      <c r="I7" s="107"/>
      <c r="J7" s="107"/>
    </row>
    <row r="8" spans="1:7" ht="12.75">
      <c r="A8" s="47"/>
      <c r="B8" s="85" t="s">
        <v>129</v>
      </c>
      <c r="C8" s="48"/>
      <c r="D8" s="71">
        <v>0</v>
      </c>
      <c r="E8" s="54"/>
      <c r="F8" s="53">
        <v>0</v>
      </c>
      <c r="G8" s="48"/>
    </row>
    <row r="9" spans="1:7" ht="12.75">
      <c r="A9" s="109" t="s">
        <v>102</v>
      </c>
      <c r="B9" s="109"/>
      <c r="C9" s="48"/>
      <c r="D9" s="56"/>
      <c r="E9" s="48"/>
      <c r="F9" s="57"/>
      <c r="G9" s="48"/>
    </row>
    <row r="10" spans="1:7" ht="12.75">
      <c r="A10" s="75"/>
      <c r="B10" s="75"/>
      <c r="C10" s="48"/>
      <c r="D10" s="56"/>
      <c r="E10" s="48"/>
      <c r="F10" s="57"/>
      <c r="G10" s="48"/>
    </row>
    <row r="11" spans="1:7" ht="12.75">
      <c r="A11" s="75"/>
      <c r="B11" s="75"/>
      <c r="C11" s="48"/>
      <c r="D11" s="56"/>
      <c r="E11" s="48"/>
      <c r="F11" s="57"/>
      <c r="G11" s="48"/>
    </row>
    <row r="12" spans="1:7" ht="12.75">
      <c r="A12" s="75"/>
      <c r="B12" s="75"/>
      <c r="C12" s="48"/>
      <c r="D12" s="56"/>
      <c r="E12" s="48"/>
      <c r="F12" s="57"/>
      <c r="G12" s="48"/>
    </row>
    <row r="13" spans="1:7" ht="12.75">
      <c r="A13" s="55"/>
      <c r="B13" s="51" t="s">
        <v>83</v>
      </c>
      <c r="C13" s="48"/>
      <c r="D13" s="86">
        <v>36000</v>
      </c>
      <c r="E13" s="54"/>
      <c r="F13" s="57">
        <v>0</v>
      </c>
      <c r="G13" s="48"/>
    </row>
    <row r="14" spans="1:7" ht="12.75">
      <c r="A14" s="55"/>
      <c r="B14" s="85" t="s">
        <v>127</v>
      </c>
      <c r="C14" s="48"/>
      <c r="D14" s="86">
        <v>0</v>
      </c>
      <c r="E14" s="48"/>
      <c r="F14" s="57">
        <v>0</v>
      </c>
      <c r="G14" s="48"/>
    </row>
    <row r="15" spans="1:7" ht="12.75">
      <c r="A15" s="55"/>
      <c r="B15" s="51" t="s">
        <v>84</v>
      </c>
      <c r="C15" s="48"/>
      <c r="D15" s="86">
        <v>40000</v>
      </c>
      <c r="E15" s="54"/>
      <c r="F15" s="57">
        <v>0</v>
      </c>
      <c r="G15" s="48"/>
    </row>
    <row r="16" spans="1:7" ht="12.75">
      <c r="A16" s="55"/>
      <c r="B16" s="51" t="s">
        <v>97</v>
      </c>
      <c r="C16" s="48"/>
      <c r="D16" s="86">
        <v>0</v>
      </c>
      <c r="E16" s="54"/>
      <c r="F16" s="57">
        <v>0</v>
      </c>
      <c r="G16" s="48"/>
    </row>
    <row r="17" spans="1:7" ht="12.75">
      <c r="A17" s="55"/>
      <c r="B17" s="55"/>
      <c r="C17" s="48"/>
      <c r="D17" s="56"/>
      <c r="E17" s="48"/>
      <c r="F17" s="57"/>
      <c r="G17" s="48"/>
    </row>
    <row r="18" spans="1:7" ht="12.75">
      <c r="A18" s="47"/>
      <c r="B18" s="47"/>
      <c r="C18" s="48"/>
      <c r="D18" s="56" t="s">
        <v>71</v>
      </c>
      <c r="E18" s="48"/>
      <c r="F18" s="57" t="s">
        <v>72</v>
      </c>
      <c r="G18" s="48"/>
    </row>
    <row r="19" spans="1:7" ht="12.75" customHeight="1">
      <c r="A19" s="108" t="s">
        <v>74</v>
      </c>
      <c r="B19" s="108"/>
      <c r="C19" s="48"/>
      <c r="D19" s="56"/>
      <c r="E19" s="48"/>
      <c r="F19" s="76">
        <v>0.95</v>
      </c>
      <c r="G19" s="48"/>
    </row>
    <row r="20" spans="1:7" ht="12.75" customHeight="1">
      <c r="A20" s="47"/>
      <c r="B20" s="47"/>
      <c r="C20" s="48"/>
      <c r="D20" s="56"/>
      <c r="E20" s="48"/>
      <c r="F20" s="57"/>
      <c r="G20" s="48"/>
    </row>
    <row r="21" spans="1:7" ht="12.75" customHeight="1">
      <c r="A21" s="63">
        <v>1</v>
      </c>
      <c r="B21" s="51" t="s">
        <v>75</v>
      </c>
      <c r="C21" s="48"/>
      <c r="D21" s="52">
        <v>21</v>
      </c>
      <c r="E21" s="48"/>
      <c r="F21" s="53">
        <f aca="true" t="shared" si="0" ref="F21:F50">+$F$19</f>
        <v>0.95</v>
      </c>
      <c r="G21" s="48"/>
    </row>
    <row r="22" spans="1:7" ht="12.75">
      <c r="A22" s="63">
        <v>2</v>
      </c>
      <c r="B22" s="51" t="s">
        <v>75</v>
      </c>
      <c r="C22" s="48"/>
      <c r="D22" s="52">
        <v>15</v>
      </c>
      <c r="E22" s="48"/>
      <c r="F22" s="53">
        <f t="shared" si="0"/>
        <v>0.95</v>
      </c>
      <c r="G22" s="48"/>
    </row>
    <row r="23" spans="1:7" ht="12.75">
      <c r="A23" s="63">
        <v>3</v>
      </c>
      <c r="B23" s="51" t="s">
        <v>75</v>
      </c>
      <c r="C23" s="48"/>
      <c r="D23" s="52">
        <v>16</v>
      </c>
      <c r="E23" s="48"/>
      <c r="F23" s="53">
        <f t="shared" si="0"/>
        <v>0.95</v>
      </c>
      <c r="G23" s="48"/>
    </row>
    <row r="24" spans="1:7" ht="12.75">
      <c r="A24" s="63">
        <v>4</v>
      </c>
      <c r="B24" s="51" t="s">
        <v>75</v>
      </c>
      <c r="C24" s="48"/>
      <c r="D24" s="52">
        <v>15.5</v>
      </c>
      <c r="E24" s="48"/>
      <c r="F24" s="53">
        <f t="shared" si="0"/>
        <v>0.95</v>
      </c>
      <c r="G24" s="48"/>
    </row>
    <row r="25" spans="1:7" ht="12.75">
      <c r="A25" s="63">
        <v>5</v>
      </c>
      <c r="B25" s="51" t="s">
        <v>75</v>
      </c>
      <c r="C25" s="48"/>
      <c r="D25" s="52">
        <v>20</v>
      </c>
      <c r="E25" s="48"/>
      <c r="F25" s="53">
        <f t="shared" si="0"/>
        <v>0.95</v>
      </c>
      <c r="G25" s="48"/>
    </row>
    <row r="26" spans="1:7" ht="12.75">
      <c r="A26" s="63">
        <v>6</v>
      </c>
      <c r="B26" s="51" t="s">
        <v>75</v>
      </c>
      <c r="C26" s="48"/>
      <c r="D26" s="52">
        <v>17</v>
      </c>
      <c r="E26" s="48"/>
      <c r="F26" s="53">
        <f t="shared" si="0"/>
        <v>0.95</v>
      </c>
      <c r="G26" s="48"/>
    </row>
    <row r="27" spans="1:21" ht="12.75">
      <c r="A27" s="63">
        <v>7</v>
      </c>
      <c r="B27" s="51" t="s">
        <v>75</v>
      </c>
      <c r="C27" s="48"/>
      <c r="D27" s="52">
        <v>16</v>
      </c>
      <c r="E27" s="48"/>
      <c r="F27" s="53">
        <f t="shared" si="0"/>
        <v>0.95</v>
      </c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</row>
    <row r="28" spans="1:21" ht="12.75">
      <c r="A28" s="63">
        <v>8</v>
      </c>
      <c r="B28" s="51" t="s">
        <v>75</v>
      </c>
      <c r="C28" s="48"/>
      <c r="D28" s="52">
        <v>19</v>
      </c>
      <c r="E28" s="48"/>
      <c r="F28" s="53">
        <f t="shared" si="0"/>
        <v>0.95</v>
      </c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</row>
    <row r="29" spans="1:21" ht="12.75">
      <c r="A29" s="63">
        <v>9</v>
      </c>
      <c r="B29" s="51" t="s">
        <v>75</v>
      </c>
      <c r="C29" s="48"/>
      <c r="D29" s="52">
        <v>15</v>
      </c>
      <c r="E29" s="48"/>
      <c r="F29" s="53">
        <f t="shared" si="0"/>
        <v>0.95</v>
      </c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</row>
    <row r="30" spans="1:21" ht="12.75">
      <c r="A30" s="63">
        <v>10</v>
      </c>
      <c r="B30" s="51" t="s">
        <v>75</v>
      </c>
      <c r="C30" s="48"/>
      <c r="D30" s="52">
        <v>15</v>
      </c>
      <c r="E30" s="48"/>
      <c r="F30" s="53">
        <f t="shared" si="0"/>
        <v>0.95</v>
      </c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</row>
    <row r="31" spans="1:21" ht="12.75">
      <c r="A31" s="63">
        <v>11</v>
      </c>
      <c r="B31" s="51" t="s">
        <v>75</v>
      </c>
      <c r="C31" s="48"/>
      <c r="D31" s="52">
        <v>15</v>
      </c>
      <c r="E31" s="48"/>
      <c r="F31" s="53">
        <f t="shared" si="0"/>
        <v>0.95</v>
      </c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</row>
    <row r="32" spans="1:21" ht="12.75">
      <c r="A32" s="63">
        <v>12</v>
      </c>
      <c r="B32" s="51" t="s">
        <v>75</v>
      </c>
      <c r="C32" s="48"/>
      <c r="D32" s="52">
        <v>12</v>
      </c>
      <c r="E32" s="48"/>
      <c r="F32" s="53">
        <f t="shared" si="0"/>
        <v>0.95</v>
      </c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</row>
    <row r="33" spans="1:21" ht="12.75">
      <c r="A33" s="63">
        <v>13</v>
      </c>
      <c r="B33" s="51" t="s">
        <v>75</v>
      </c>
      <c r="C33" s="48"/>
      <c r="D33" s="52">
        <v>12</v>
      </c>
      <c r="E33" s="48"/>
      <c r="F33" s="53">
        <f t="shared" si="0"/>
        <v>0.95</v>
      </c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</row>
    <row r="34" spans="1:21" ht="12.75">
      <c r="A34" s="63">
        <v>14</v>
      </c>
      <c r="B34" s="51"/>
      <c r="C34" s="48"/>
      <c r="D34" s="52"/>
      <c r="E34" s="48"/>
      <c r="F34" s="53">
        <f t="shared" si="0"/>
        <v>0.95</v>
      </c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</row>
    <row r="35" spans="1:21" ht="12.75">
      <c r="A35" s="63">
        <v>15</v>
      </c>
      <c r="B35" s="51"/>
      <c r="C35" s="48"/>
      <c r="D35" s="52"/>
      <c r="E35" s="48"/>
      <c r="F35" s="53">
        <f t="shared" si="0"/>
        <v>0.95</v>
      </c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</row>
    <row r="36" spans="1:21" ht="12.75">
      <c r="A36" s="63">
        <v>16</v>
      </c>
      <c r="B36" s="51"/>
      <c r="C36" s="48"/>
      <c r="D36" s="52"/>
      <c r="E36" s="48"/>
      <c r="F36" s="53">
        <f t="shared" si="0"/>
        <v>0.95</v>
      </c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</row>
    <row r="37" spans="1:21" ht="12.75">
      <c r="A37" s="63">
        <v>17</v>
      </c>
      <c r="B37" s="51"/>
      <c r="C37" s="48"/>
      <c r="D37" s="52"/>
      <c r="E37" s="48"/>
      <c r="F37" s="53">
        <f t="shared" si="0"/>
        <v>0.95</v>
      </c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</row>
    <row r="38" spans="1:21" ht="12.75">
      <c r="A38" s="63">
        <v>18</v>
      </c>
      <c r="B38" s="51"/>
      <c r="C38" s="48"/>
      <c r="D38" s="52"/>
      <c r="E38" s="48"/>
      <c r="F38" s="53">
        <f t="shared" si="0"/>
        <v>0.95</v>
      </c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</row>
    <row r="39" spans="1:21" ht="12.75">
      <c r="A39" s="63">
        <v>19</v>
      </c>
      <c r="B39" s="51"/>
      <c r="C39" s="48"/>
      <c r="D39" s="52"/>
      <c r="E39" s="48"/>
      <c r="F39" s="53">
        <f t="shared" si="0"/>
        <v>0.95</v>
      </c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</row>
    <row r="40" spans="1:21" ht="12.75">
      <c r="A40" s="63">
        <v>20</v>
      </c>
      <c r="B40" s="51"/>
      <c r="C40" s="48"/>
      <c r="D40" s="52"/>
      <c r="E40" s="48"/>
      <c r="F40" s="53">
        <f t="shared" si="0"/>
        <v>0.95</v>
      </c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</row>
    <row r="41" spans="1:21" ht="12.75">
      <c r="A41" s="63">
        <v>21</v>
      </c>
      <c r="B41" s="51"/>
      <c r="C41" s="48"/>
      <c r="D41" s="52"/>
      <c r="E41" s="48"/>
      <c r="F41" s="53">
        <f t="shared" si="0"/>
        <v>0.95</v>
      </c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</row>
    <row r="42" spans="1:8" ht="12.75">
      <c r="A42" s="63">
        <v>22</v>
      </c>
      <c r="B42" s="51"/>
      <c r="C42" s="48"/>
      <c r="D42" s="52"/>
      <c r="E42" s="48"/>
      <c r="F42" s="53">
        <f t="shared" si="0"/>
        <v>0.95</v>
      </c>
      <c r="G42" s="48"/>
      <c r="H42" s="48"/>
    </row>
    <row r="43" spans="1:8" ht="12.75">
      <c r="A43" s="63">
        <v>23</v>
      </c>
      <c r="B43" s="51"/>
      <c r="C43" s="48"/>
      <c r="D43" s="52"/>
      <c r="E43" s="48"/>
      <c r="F43" s="53">
        <f t="shared" si="0"/>
        <v>0.95</v>
      </c>
      <c r="G43" s="48"/>
      <c r="H43" s="48"/>
    </row>
    <row r="44" spans="1:8" ht="12.75">
      <c r="A44" s="63">
        <v>24</v>
      </c>
      <c r="B44" s="51"/>
      <c r="C44" s="48"/>
      <c r="D44" s="52"/>
      <c r="E44" s="48"/>
      <c r="F44" s="53">
        <f t="shared" si="0"/>
        <v>0.95</v>
      </c>
      <c r="G44" s="48"/>
      <c r="H44" s="48"/>
    </row>
    <row r="45" spans="1:8" ht="12.75">
      <c r="A45" s="63">
        <v>25</v>
      </c>
      <c r="B45" s="51"/>
      <c r="C45" s="48"/>
      <c r="D45" s="52"/>
      <c r="E45" s="48"/>
      <c r="F45" s="53">
        <f t="shared" si="0"/>
        <v>0.95</v>
      </c>
      <c r="G45" s="48"/>
      <c r="H45" s="48"/>
    </row>
    <row r="46" spans="1:8" ht="12.75">
      <c r="A46" s="63">
        <v>26</v>
      </c>
      <c r="B46" s="51"/>
      <c r="C46" s="48"/>
      <c r="D46" s="52"/>
      <c r="E46" s="48"/>
      <c r="F46" s="53">
        <f t="shared" si="0"/>
        <v>0.95</v>
      </c>
      <c r="G46" s="48"/>
      <c r="H46" s="48"/>
    </row>
    <row r="47" spans="1:8" ht="12.75">
      <c r="A47" s="63">
        <v>27</v>
      </c>
      <c r="B47" s="51"/>
      <c r="C47" s="48"/>
      <c r="D47" s="52"/>
      <c r="E47" s="48"/>
      <c r="F47" s="53">
        <f t="shared" si="0"/>
        <v>0.95</v>
      </c>
      <c r="G47" s="48"/>
      <c r="H47" s="48"/>
    </row>
    <row r="48" spans="1:8" ht="12.75">
      <c r="A48" s="63">
        <v>28</v>
      </c>
      <c r="B48" s="51"/>
      <c r="C48" s="48"/>
      <c r="D48" s="52"/>
      <c r="E48" s="48"/>
      <c r="F48" s="53">
        <f t="shared" si="0"/>
        <v>0.95</v>
      </c>
      <c r="G48" s="48"/>
      <c r="H48" s="48"/>
    </row>
    <row r="49" spans="1:8" ht="12.75">
      <c r="A49" s="63">
        <v>29</v>
      </c>
      <c r="B49" s="51"/>
      <c r="C49" s="48"/>
      <c r="D49" s="52"/>
      <c r="E49" s="48"/>
      <c r="F49" s="53">
        <f t="shared" si="0"/>
        <v>0.95</v>
      </c>
      <c r="G49" s="48"/>
      <c r="H49" s="48"/>
    </row>
    <row r="50" spans="1:8" ht="12.75">
      <c r="A50" s="63">
        <v>30</v>
      </c>
      <c r="B50" s="51"/>
      <c r="C50" s="48"/>
      <c r="D50" s="52"/>
      <c r="E50" s="48"/>
      <c r="F50" s="53">
        <f t="shared" si="0"/>
        <v>0.95</v>
      </c>
      <c r="G50" s="48"/>
      <c r="H50" s="48"/>
    </row>
    <row r="51" spans="1:8" ht="12.75">
      <c r="A51" s="108" t="s">
        <v>108</v>
      </c>
      <c r="B51" s="108"/>
      <c r="C51" s="48"/>
      <c r="D51" s="58">
        <f>AVERAGE(D21:D50)</f>
        <v>16.03846153846154</v>
      </c>
      <c r="E51" s="48"/>
      <c r="F51" s="48"/>
      <c r="G51" s="48"/>
      <c r="H51" s="48"/>
    </row>
    <row r="52" spans="1:8" ht="12.75">
      <c r="A52" s="55"/>
      <c r="B52" s="55"/>
      <c r="C52" s="48"/>
      <c r="D52" s="56"/>
      <c r="E52" s="48"/>
      <c r="F52" s="48"/>
      <c r="G52" s="48"/>
      <c r="H52" s="48"/>
    </row>
    <row r="53" spans="1:8" ht="12.75">
      <c r="A53" s="48"/>
      <c r="B53" s="48"/>
      <c r="C53" s="48"/>
      <c r="D53" s="48"/>
      <c r="E53" s="48"/>
      <c r="F53" s="48"/>
      <c r="G53" s="48"/>
      <c r="H53" s="48"/>
    </row>
    <row r="54" spans="1:8" ht="12.75">
      <c r="A54" s="48"/>
      <c r="B54" s="48"/>
      <c r="C54" s="48"/>
      <c r="D54" s="48"/>
      <c r="E54" s="48"/>
      <c r="F54" s="48"/>
      <c r="G54" s="48"/>
      <c r="H54" s="48"/>
    </row>
    <row r="55" spans="1:8" ht="12.75">
      <c r="A55" s="48"/>
      <c r="B55" s="48"/>
      <c r="C55" s="48"/>
      <c r="D55" s="48"/>
      <c r="E55" s="48"/>
      <c r="F55" s="48"/>
      <c r="G55" s="48"/>
      <c r="H55" s="48"/>
    </row>
    <row r="56" spans="1:8" ht="12.75">
      <c r="A56" s="48"/>
      <c r="B56" s="48"/>
      <c r="C56" s="48"/>
      <c r="D56" s="48"/>
      <c r="E56" s="48"/>
      <c r="F56" s="48"/>
      <c r="G56" s="48"/>
      <c r="H56" s="48"/>
    </row>
  </sheetData>
  <mergeCells count="5">
    <mergeCell ref="A51:B51"/>
    <mergeCell ref="A19:B19"/>
    <mergeCell ref="H3:J7"/>
    <mergeCell ref="A6:B6"/>
    <mergeCell ref="A9:B9"/>
  </mergeCells>
  <printOptions/>
  <pageMargins left="0.25" right="0" top="0.75" bottom="0.25" header="0.5" footer="0.15"/>
  <pageSetup horizontalDpi="600" verticalDpi="600" orientation="portrait" scale="98" r:id="rId3"/>
  <headerFooter alignWithMargins="0">
    <oddHeader>&amp;CBudget Personnel Assumptions</oddHeader>
    <oddFooter>&amp;L&amp;8Advisors On Target 2006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Advisors On Target,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Basic Budget Template</dc:title>
  <dc:subject>Financial Management</dc:subject>
  <dc:creator>Linnea Blair</dc:creator>
  <cp:keywords/>
  <dc:description/>
  <cp:lastModifiedBy>Linnea Blair</cp:lastModifiedBy>
  <cp:lastPrinted>2008-05-04T23:42:31Z</cp:lastPrinted>
  <dcterms:created xsi:type="dcterms:W3CDTF">2001-04-23T17:08:10Z</dcterms:created>
  <dcterms:modified xsi:type="dcterms:W3CDTF">2011-10-24T22:19:51Z</dcterms:modified>
  <cp:category/>
  <cp:version/>
  <cp:contentType/>
  <cp:contentStatus/>
</cp:coreProperties>
</file>